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showHorizontalScroll="0" showVerticalScroll="0" showSheetTabs="0" xWindow="0" yWindow="0" windowWidth="20712" windowHeight="11736" tabRatio="415"/>
  </bookViews>
  <sheets>
    <sheet name="Calculation" sheetId="1" r:id="rId1"/>
    <sheet name="Temperatures" sheetId="2" r:id="rId2"/>
    <sheet name="Model selection" sheetId="3" r:id="rId3"/>
  </sheets>
  <definedNames>
    <definedName name="_xlnm.Print_Area" localSheetId="0">Calculation!$A$1:$I$179</definedName>
  </definedNames>
  <calcPr calcId="124519" refMode="R1C1"/>
  <fileRecoveryPr repairLoad="1"/>
</workbook>
</file>

<file path=xl/calcChain.xml><?xml version="1.0" encoding="utf-8"?>
<calcChain xmlns="http://schemas.openxmlformats.org/spreadsheetml/2006/main">
  <c r="I7" i="3"/>
  <c r="I8"/>
  <c r="I9"/>
  <c r="I10"/>
  <c r="I11"/>
  <c r="I12"/>
  <c r="I13"/>
  <c r="I14"/>
  <c r="I15"/>
  <c r="I16"/>
  <c r="I17"/>
  <c r="I18"/>
  <c r="I6"/>
  <c r="C7"/>
  <c r="C8"/>
  <c r="C9"/>
  <c r="C10"/>
  <c r="C11"/>
  <c r="C12"/>
  <c r="C13"/>
  <c r="C14"/>
  <c r="C15"/>
  <c r="C16"/>
  <c r="C17"/>
  <c r="C18"/>
  <c r="C6"/>
  <c r="B18"/>
  <c r="H18" s="1"/>
  <c r="B17"/>
  <c r="H17" s="1"/>
  <c r="B16"/>
  <c r="H16" s="1"/>
  <c r="B15"/>
  <c r="H15" s="1"/>
  <c r="B14"/>
  <c r="H14" s="1"/>
  <c r="B13"/>
  <c r="H13" s="1"/>
  <c r="B12"/>
  <c r="B11"/>
  <c r="H11" s="1"/>
  <c r="B10"/>
  <c r="B9"/>
  <c r="H9" s="1"/>
  <c r="B7"/>
  <c r="H7" s="1"/>
  <c r="B6"/>
  <c r="E37" i="2"/>
  <c r="F37"/>
  <c r="G37"/>
  <c r="H37"/>
  <c r="I37"/>
  <c r="J37"/>
  <c r="E38"/>
  <c r="F38"/>
  <c r="G38"/>
  <c r="H38"/>
  <c r="I38"/>
  <c r="J38"/>
  <c r="E39"/>
  <c r="F39"/>
  <c r="G39"/>
  <c r="H39"/>
  <c r="I39"/>
  <c r="J39"/>
  <c r="E40"/>
  <c r="F40"/>
  <c r="G40"/>
  <c r="H40"/>
  <c r="I40"/>
  <c r="J40"/>
  <c r="E41"/>
  <c r="F41"/>
  <c r="G41"/>
  <c r="H41"/>
  <c r="I41"/>
  <c r="J41"/>
  <c r="E42"/>
  <c r="F42"/>
  <c r="G42"/>
  <c r="H42"/>
  <c r="I42"/>
  <c r="J42"/>
  <c r="G36"/>
  <c r="H36"/>
  <c r="I36"/>
  <c r="J36"/>
  <c r="E36"/>
  <c r="F36"/>
  <c r="H12" i="3" l="1"/>
  <c r="H10"/>
  <c r="H6"/>
  <c r="B8"/>
  <c r="I26" i="2"/>
  <c r="H26"/>
  <c r="G26"/>
  <c r="F26"/>
  <c r="M12"/>
  <c r="L12"/>
  <c r="K12"/>
  <c r="J12"/>
  <c r="I12"/>
  <c r="H12"/>
  <c r="G12"/>
  <c r="F12"/>
  <c r="E12"/>
  <c r="D12"/>
  <c r="C12"/>
  <c r="B12"/>
  <c r="N11"/>
  <c r="B2"/>
  <c r="C2"/>
  <c r="D2"/>
  <c r="K2"/>
  <c r="L2"/>
  <c r="M2"/>
  <c r="E2"/>
  <c r="E20" s="1"/>
  <c r="G2"/>
  <c r="G34" s="1"/>
  <c r="H2"/>
  <c r="H30" s="1"/>
  <c r="J2"/>
  <c r="J25" s="1"/>
  <c r="I2"/>
  <c r="I29" s="1"/>
  <c r="F2"/>
  <c r="F32" s="1"/>
  <c r="D22" i="1"/>
  <c r="G20" i="2"/>
  <c r="H20"/>
  <c r="I20"/>
  <c r="G21"/>
  <c r="H21"/>
  <c r="I21"/>
  <c r="G22"/>
  <c r="H22"/>
  <c r="I22"/>
  <c r="G23"/>
  <c r="H23"/>
  <c r="I23"/>
  <c r="G24"/>
  <c r="H24"/>
  <c r="I24"/>
  <c r="F21"/>
  <c r="F22"/>
  <c r="F23"/>
  <c r="F24"/>
  <c r="F20"/>
  <c r="N5"/>
  <c r="N6"/>
  <c r="N7"/>
  <c r="N8"/>
  <c r="N9"/>
  <c r="N10"/>
  <c r="A13"/>
  <c r="F10"/>
  <c r="F25" s="1"/>
  <c r="J10"/>
  <c r="M10"/>
  <c r="L10"/>
  <c r="G10"/>
  <c r="G25"/>
  <c r="H10"/>
  <c r="H25" s="1"/>
  <c r="I10"/>
  <c r="K10"/>
  <c r="E10"/>
  <c r="C10"/>
  <c r="C33"/>
  <c r="D10"/>
  <c r="B10"/>
  <c r="I80" i="1"/>
  <c r="B25" i="2"/>
  <c r="M22"/>
  <c r="K20"/>
  <c r="K32"/>
  <c r="K33"/>
  <c r="K22"/>
  <c r="K24"/>
  <c r="C21"/>
  <c r="C28"/>
  <c r="C16"/>
  <c r="C17" s="1"/>
  <c r="J22"/>
  <c r="C23"/>
  <c r="C22"/>
  <c r="G28"/>
  <c r="G30"/>
  <c r="K16"/>
  <c r="K17" s="1"/>
  <c r="K21"/>
  <c r="I32"/>
  <c r="K29"/>
  <c r="M28"/>
  <c r="I31"/>
  <c r="L31"/>
  <c r="M33"/>
  <c r="C25"/>
  <c r="K30"/>
  <c r="M20"/>
  <c r="K31"/>
  <c r="K43" s="1"/>
  <c r="J24"/>
  <c r="D23"/>
  <c r="L16"/>
  <c r="L17" s="1"/>
  <c r="F16"/>
  <c r="F17" s="1"/>
  <c r="L23"/>
  <c r="I33"/>
  <c r="M32"/>
  <c r="M23"/>
  <c r="I25"/>
  <c r="M25"/>
  <c r="M30"/>
  <c r="C31"/>
  <c r="K28"/>
  <c r="K25"/>
  <c r="F31"/>
  <c r="F30"/>
  <c r="M29"/>
  <c r="K23" l="1"/>
  <c r="K37"/>
  <c r="K38"/>
  <c r="K39"/>
  <c r="K40"/>
  <c r="K41"/>
  <c r="K42"/>
  <c r="K36"/>
  <c r="I16"/>
  <c r="I17" s="1"/>
  <c r="L29"/>
  <c r="L36"/>
  <c r="L37"/>
  <c r="L38"/>
  <c r="L39"/>
  <c r="L40"/>
  <c r="L41"/>
  <c r="L42"/>
  <c r="B26"/>
  <c r="B38"/>
  <c r="B39"/>
  <c r="B40"/>
  <c r="B41"/>
  <c r="B42"/>
  <c r="B37"/>
  <c r="B36"/>
  <c r="D25"/>
  <c r="D29"/>
  <c r="D37"/>
  <c r="D41"/>
  <c r="D42"/>
  <c r="D38"/>
  <c r="D40"/>
  <c r="D36"/>
  <c r="D39"/>
  <c r="M26"/>
  <c r="M36"/>
  <c r="M38"/>
  <c r="M40"/>
  <c r="M41"/>
  <c r="M39"/>
  <c r="M42"/>
  <c r="M37"/>
  <c r="C26"/>
  <c r="C37"/>
  <c r="C38"/>
  <c r="C39"/>
  <c r="C40"/>
  <c r="C41"/>
  <c r="C42"/>
  <c r="C36"/>
  <c r="C43"/>
  <c r="H28" i="1" s="1"/>
  <c r="H66" s="1"/>
  <c r="I28" i="2"/>
  <c r="H8" i="3"/>
  <c r="G33" i="2"/>
  <c r="G31"/>
  <c r="G43" s="1"/>
  <c r="H32" i="1" s="1"/>
  <c r="H70" s="1"/>
  <c r="C29" i="2"/>
  <c r="J32"/>
  <c r="M16"/>
  <c r="M17" s="1"/>
  <c r="F33"/>
  <c r="G32"/>
  <c r="C20"/>
  <c r="I43"/>
  <c r="H34" i="1" s="1"/>
  <c r="H72" s="1"/>
  <c r="G29" i="2"/>
  <c r="C30"/>
  <c r="F43"/>
  <c r="H31" i="1" s="1"/>
  <c r="H69" s="1"/>
  <c r="J21" i="2"/>
  <c r="H29"/>
  <c r="G16"/>
  <c r="G17" s="1"/>
  <c r="M24"/>
  <c r="E24"/>
  <c r="C24"/>
  <c r="B22"/>
  <c r="M21"/>
  <c r="M31"/>
  <c r="M43" s="1"/>
  <c r="H38" i="1" s="1"/>
  <c r="H76" s="1"/>
  <c r="F29" i="2"/>
  <c r="F34"/>
  <c r="B32"/>
  <c r="B21"/>
  <c r="I30"/>
  <c r="H34"/>
  <c r="B16"/>
  <c r="B17" s="1"/>
  <c r="B29"/>
  <c r="I34"/>
  <c r="B23"/>
  <c r="B13"/>
  <c r="B34"/>
  <c r="J34"/>
  <c r="B28"/>
  <c r="C32"/>
  <c r="C34"/>
  <c r="K34"/>
  <c r="B20"/>
  <c r="B30"/>
  <c r="B33"/>
  <c r="B31"/>
  <c r="D34"/>
  <c r="L34"/>
  <c r="B24"/>
  <c r="E34"/>
  <c r="M34"/>
  <c r="C13"/>
  <c r="K13"/>
  <c r="D30"/>
  <c r="D21"/>
  <c r="D13"/>
  <c r="H32"/>
  <c r="D20"/>
  <c r="D33"/>
  <c r="M13"/>
  <c r="D22"/>
  <c r="H31"/>
  <c r="H43" s="1"/>
  <c r="H33" i="1" s="1"/>
  <c r="H71" s="1"/>
  <c r="F13" i="2"/>
  <c r="J26"/>
  <c r="D16"/>
  <c r="D17" s="1"/>
  <c r="K26"/>
  <c r="D26"/>
  <c r="L26"/>
  <c r="H16"/>
  <c r="H17" s="1"/>
  <c r="H33"/>
  <c r="I13"/>
  <c r="E26"/>
  <c r="H36" i="1"/>
  <c r="H74" s="1"/>
  <c r="G13" i="2"/>
  <c r="E13"/>
  <c r="J20"/>
  <c r="E23"/>
  <c r="J29"/>
  <c r="E30"/>
  <c r="L28"/>
  <c r="H13"/>
  <c r="E25"/>
  <c r="L30"/>
  <c r="J16"/>
  <c r="J17" s="1"/>
  <c r="D32"/>
  <c r="J28"/>
  <c r="E16"/>
  <c r="E17" s="1"/>
  <c r="L24"/>
  <c r="E21"/>
  <c r="L22"/>
  <c r="L25"/>
  <c r="D31"/>
  <c r="J33"/>
  <c r="J30"/>
  <c r="D28"/>
  <c r="E22"/>
  <c r="L33"/>
  <c r="H28"/>
  <c r="J23"/>
  <c r="L32"/>
  <c r="L43" s="1"/>
  <c r="L20"/>
  <c r="D24"/>
  <c r="E33"/>
  <c r="E28"/>
  <c r="E29"/>
  <c r="E32"/>
  <c r="L13"/>
  <c r="L21"/>
  <c r="F28"/>
  <c r="J13"/>
  <c r="E31"/>
  <c r="J31"/>
  <c r="J43" s="1"/>
  <c r="E43" l="1"/>
  <c r="H37" i="1"/>
  <c r="H75" s="1"/>
  <c r="D43" i="2"/>
  <c r="B43"/>
  <c r="H27" i="1" s="1"/>
  <c r="H65" s="1"/>
  <c r="I69"/>
  <c r="D55" i="2" s="1"/>
  <c r="H61" i="1"/>
  <c r="C56" i="2"/>
  <c r="H58" i="1"/>
  <c r="I28"/>
  <c r="I53" s="1"/>
  <c r="I72"/>
  <c r="D58" i="2" s="1"/>
  <c r="H30" i="1"/>
  <c r="H68" s="1"/>
  <c r="I38"/>
  <c r="I63" s="1"/>
  <c r="H63"/>
  <c r="H35"/>
  <c r="H73" s="1"/>
  <c r="H29"/>
  <c r="H67" s="1"/>
  <c r="I34"/>
  <c r="I59" s="1"/>
  <c r="I31"/>
  <c r="I56" s="1"/>
  <c r="H53"/>
  <c r="C60" i="2"/>
  <c r="I36" i="1"/>
  <c r="I61" s="1"/>
  <c r="C62" i="2"/>
  <c r="H59" i="1"/>
  <c r="I33"/>
  <c r="I58" s="1"/>
  <c r="I71"/>
  <c r="D57" i="2" s="1"/>
  <c r="H57" i="1"/>
  <c r="I32"/>
  <c r="I57" s="1"/>
  <c r="H56"/>
  <c r="I66"/>
  <c r="D52" i="2" s="1"/>
  <c r="H62" i="1"/>
  <c r="I37"/>
  <c r="I62" s="1"/>
  <c r="H60" l="1"/>
  <c r="C58" i="2"/>
  <c r="I30" i="1"/>
  <c r="I55" s="1"/>
  <c r="H55"/>
  <c r="H52"/>
  <c r="B1" i="3"/>
  <c r="D6" s="1"/>
  <c r="D7" s="1"/>
  <c r="I70" i="1"/>
  <c r="D56" i="2" s="1"/>
  <c r="I35" i="1"/>
  <c r="I60" s="1"/>
  <c r="C55" i="2"/>
  <c r="C51"/>
  <c r="I29" i="1"/>
  <c r="I54" s="1"/>
  <c r="C54" i="2"/>
  <c r="H54" i="1"/>
  <c r="I27"/>
  <c r="I67"/>
  <c r="D53" i="2" s="1"/>
  <c r="C52"/>
  <c r="I74" i="1"/>
  <c r="D60" i="2" s="1"/>
  <c r="C57"/>
  <c r="I76" i="1"/>
  <c r="D62" i="2" s="1"/>
  <c r="I75" i="1"/>
  <c r="D61" i="2" s="1"/>
  <c r="C61"/>
  <c r="I73" i="1"/>
  <c r="D59" i="2" s="1"/>
  <c r="C59"/>
  <c r="I65" i="1" l="1"/>
  <c r="D51" i="2" s="1"/>
  <c r="I68" i="1"/>
  <c r="D54" i="2" s="1"/>
  <c r="E6" i="3"/>
  <c r="E7" s="1"/>
  <c r="I52" i="1"/>
  <c r="H1" i="3"/>
  <c r="K6" s="1"/>
  <c r="H77" i="1"/>
  <c r="C53" i="2"/>
  <c r="D9" i="3"/>
  <c r="D10" s="1"/>
  <c r="E9" l="1"/>
  <c r="E10" s="1"/>
  <c r="I77" i="1"/>
  <c r="J6" i="3"/>
  <c r="J7" s="1"/>
  <c r="D12"/>
  <c r="D11"/>
  <c r="D13" s="1"/>
  <c r="K7"/>
  <c r="E11" l="1"/>
  <c r="E13" s="1"/>
  <c r="E12"/>
  <c r="D14"/>
  <c r="D15" s="1"/>
  <c r="D16" s="1"/>
  <c r="J9"/>
  <c r="K9"/>
  <c r="E14" l="1"/>
  <c r="D17"/>
  <c r="D18" s="1"/>
  <c r="J10"/>
  <c r="K10"/>
  <c r="K12" s="1"/>
  <c r="E15" l="1"/>
  <c r="F41" i="1" s="1"/>
  <c r="J12" i="3"/>
  <c r="J11"/>
  <c r="K11"/>
  <c r="E16" l="1"/>
  <c r="E17" s="1"/>
  <c r="E18" s="1"/>
  <c r="H79" i="1"/>
  <c r="H80"/>
  <c r="J13" i="3"/>
  <c r="K13"/>
  <c r="J14" l="1"/>
  <c r="J15" s="1"/>
  <c r="K14"/>
  <c r="K15" l="1"/>
  <c r="K16" s="1"/>
  <c r="K17" s="1"/>
  <c r="F42" i="1"/>
  <c r="J16" i="3"/>
  <c r="J17" s="1"/>
  <c r="J18" s="1"/>
  <c r="K18" l="1"/>
</calcChain>
</file>

<file path=xl/sharedStrings.xml><?xml version="1.0" encoding="utf-8"?>
<sst xmlns="http://schemas.openxmlformats.org/spreadsheetml/2006/main" count="235" uniqueCount="106">
  <si>
    <t>Prepared for:</t>
  </si>
  <si>
    <t>Date:</t>
  </si>
  <si>
    <t>Melbourne</t>
  </si>
  <si>
    <t>Adelaide</t>
  </si>
  <si>
    <t>Brisbane</t>
  </si>
  <si>
    <t>Perth</t>
  </si>
  <si>
    <t>Sydney</t>
  </si>
  <si>
    <t>Enter Swimming Pool Dimensions</t>
  </si>
  <si>
    <t>Average Length</t>
  </si>
  <si>
    <t>Average Width</t>
  </si>
  <si>
    <t>Average Depth</t>
  </si>
  <si>
    <t>Metres</t>
  </si>
  <si>
    <t>Heating Cost</t>
  </si>
  <si>
    <t>Enter Power Cost (cents per kW hour)</t>
  </si>
  <si>
    <t>Daily Cost to maintain Temperature</t>
  </si>
  <si>
    <t>Model</t>
  </si>
  <si>
    <t>Phase</t>
  </si>
  <si>
    <t>Single</t>
  </si>
  <si>
    <t>Three</t>
  </si>
  <si>
    <t>kw output cond'n 1</t>
  </si>
  <si>
    <t>kw output cond'n 2</t>
  </si>
  <si>
    <t>City</t>
  </si>
  <si>
    <t>degrees</t>
  </si>
  <si>
    <t>Step 1</t>
  </si>
  <si>
    <t>Step 2</t>
  </si>
  <si>
    <t>Step 3</t>
  </si>
  <si>
    <t>Step 5</t>
  </si>
  <si>
    <t>Step 4</t>
  </si>
  <si>
    <t>Notes:</t>
  </si>
  <si>
    <t>Enter Nearest Location or location with similar weather conditions</t>
  </si>
  <si>
    <t>****</t>
  </si>
  <si>
    <t>Ambient Condition 1 is 10 degree air temperature, 63% RH &amp; 27 degree entering water temperature</t>
  </si>
  <si>
    <t>Enter Data into Bluefields</t>
  </si>
  <si>
    <t>Avg. temperature rise per hour at ambient condition 1:</t>
  </si>
  <si>
    <t>Avg. temperature rise per hour at ambient condition 2:</t>
  </si>
  <si>
    <t>Enter Desired Swimming Temperature</t>
  </si>
  <si>
    <t>kW Required to Raise Water Temperature</t>
  </si>
  <si>
    <t>kW</t>
  </si>
  <si>
    <t xml:space="preserve">Select (nearest) Location </t>
  </si>
  <si>
    <t xml:space="preserve">If swimming is required all year round, or you are selecting for a commercial establishment that requires a guarranteed temperature all </t>
  </si>
  <si>
    <t xml:space="preserve">year round AstralPool recommend the use or a back up gas fired Heater.   </t>
  </si>
  <si>
    <t xml:space="preserve">Always consult your nearest AstralPool office when sizing heating for a commercial establishment.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</si>
  <si>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</si>
  <si>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</si>
  <si>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</si>
  <si>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</si>
  <si>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</si>
  <si>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</si>
  <si>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</si>
  <si>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</si>
  <si>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</si>
  <si>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</si>
  <si>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</si>
  <si>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</si>
  <si>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Heat Up Cost </t>
  </si>
  <si>
    <t>(in month on initial heat up)</t>
  </si>
  <si>
    <t>No Cover</t>
  </si>
  <si>
    <t>With Cover</t>
  </si>
  <si>
    <t>Monthly Cost to Heat</t>
  </si>
  <si>
    <t>Desired Temp</t>
  </si>
  <si>
    <t>A Division of</t>
  </si>
  <si>
    <t>Townsville</t>
  </si>
  <si>
    <t>Heat Pump Sizing Guide</t>
  </si>
  <si>
    <t>Ambient Condition 1 is 24 degree air temperature, 63% RH &amp; 27 degree entering water temperature</t>
  </si>
  <si>
    <t>hurl</t>
  </si>
  <si>
    <t>Extended selection</t>
  </si>
  <si>
    <t>All Year selection</t>
  </si>
  <si>
    <t>Extended Season</t>
  </si>
  <si>
    <t>All Year Round</t>
  </si>
  <si>
    <t>Desired temp less City Avg Temp</t>
  </si>
  <si>
    <t>Graph data - Unheated water</t>
  </si>
  <si>
    <t>City selection</t>
  </si>
  <si>
    <t>Graph data - Achievable Water Temp</t>
  </si>
  <si>
    <t>Achieved Water Temp - Extended Season</t>
  </si>
  <si>
    <t>Achieved Water Temp - Year Round Season</t>
  </si>
  <si>
    <t>** Row 15 &amp; 16 are now irrelevant **</t>
  </si>
  <si>
    <t>Achieved Water Temp - Solar Alternative</t>
  </si>
  <si>
    <t>Select your type of Swimming Season</t>
  </si>
  <si>
    <t>Litres</t>
  </si>
  <si>
    <t>Comfortable swimming temperature is 26-28 degrees.</t>
  </si>
  <si>
    <t>Solar alternative season is from October - March, Extended season is from Sept-April, All rear round is all year round.</t>
  </si>
  <si>
    <t>Peak Tarrif Electricity is generally approximatley 22-28 cents per kW hour</t>
  </si>
  <si>
    <t>the swimming season, these calculations assume that no blanket is used and the size of the heat pump is calculated also without a cover being used.</t>
  </si>
  <si>
    <t xml:space="preserve">******Note***** This sizing guide is indicative only.  In general, heat pumps are recommended replace or support solar heating or extend the swimming season to 8 or 9 months a year.    </t>
  </si>
  <si>
    <t>Annual Total</t>
  </si>
  <si>
    <t>Heat Pump - No Cover</t>
  </si>
  <si>
    <t>Indication</t>
  </si>
  <si>
    <t>Recommended Heat Pump Model  **</t>
  </si>
  <si>
    <t>Recommended Heat Pump Model (With Cover)  **</t>
  </si>
  <si>
    <t>Heat Pump - Cover</t>
  </si>
  <si>
    <t>** Recommended model is based on heat maintenance only. Additional time or kW required for initial / start of season heat up of your pool or spa</t>
  </si>
  <si>
    <t>Standard Heat Pump HP88</t>
  </si>
  <si>
    <t>Inverter Heat Pump iHP195</t>
  </si>
  <si>
    <t>Inverter Heat Pump iHP283</t>
  </si>
  <si>
    <t xml:space="preserve">AstralPool 47.0 KW Commercial </t>
  </si>
  <si>
    <t xml:space="preserve">AstralPool 58.0 KW Commercial </t>
  </si>
  <si>
    <t xml:space="preserve">AstralPool 95.0 KW Commercial </t>
  </si>
  <si>
    <t xml:space="preserve">AstralPool 120.0 KW Commercial </t>
  </si>
  <si>
    <t xml:space="preserve">AstralPool 145.0 KW Commercial </t>
  </si>
  <si>
    <t xml:space="preserve">AstralPool 220.0 KW Commercial </t>
  </si>
  <si>
    <t>The use of a thermal blanket may reduce operating costs by up to 40% however, as many pool owners leave the blanket off during</t>
  </si>
  <si>
    <t>Inverter Heat Pump iHP170 or Inverter Top iHPT168</t>
  </si>
  <si>
    <t>Standard Heat Pump HP126 or Inverter Heat Pump iHP120 or Inverter Heat Pump Top iHPT127</t>
  </si>
  <si>
    <t>Inverter Heat Pump iHP120 or Standard Heat Pump HP126 or Inverter Heat Pump Top iHPT127</t>
  </si>
  <si>
    <t>Inverter Heat Pump iHP242 or Inverter Top iHPT246</t>
  </si>
  <si>
    <t>Tasmania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</si>
</sst>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.0000_-;\-* #,##0.0000_-;_-* &quot;-&quot;??_-;_-@_-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30"/>
      <name val="Constantia"/>
      <family val="1"/>
    </font>
    <font>
      <sz val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color theme="0" tint="-0.499984740745262"/>
      <name val="Arial"/>
      <family val="2"/>
    </font>
    <font>
      <sz val="10"/>
      <color theme="6"/>
      <name val="Arial"/>
      <family val="2"/>
    </font>
    <font>
      <sz val="10"/>
      <color theme="4"/>
      <name val="Arial"/>
      <family val="2"/>
    </font>
    <font>
      <sz val="10"/>
      <color rgb="FF222222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9"/>
      </left>
      <right/>
      <top style="thick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6" fillId="3" borderId="1" xfId="0" applyFont="1" applyFill="1" applyBorder="1" applyAlignment="1">
      <alignment vertical="top" wrapText="1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6" fillId="3" borderId="2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0" xfId="0" applyFill="1"/>
    <xf numFmtId="0" fontId="0" fillId="0" borderId="0" xfId="0" applyFill="1" applyBorder="1" applyProtection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2" borderId="9" xfId="0" applyFont="1" applyFill="1" applyBorder="1"/>
    <xf numFmtId="0" fontId="1" fillId="2" borderId="0" xfId="0" applyFont="1" applyFill="1"/>
    <xf numFmtId="0" fontId="1" fillId="0" borderId="0" xfId="0" applyFont="1"/>
    <xf numFmtId="0" fontId="1" fillId="4" borderId="0" xfId="0" applyFont="1" applyFill="1"/>
    <xf numFmtId="0" fontId="3" fillId="0" borderId="0" xfId="0" applyFont="1" applyFill="1"/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2" borderId="8" xfId="0" applyNumberFormat="1" applyFill="1" applyBorder="1"/>
    <xf numFmtId="165" fontId="0" fillId="2" borderId="14" xfId="0" applyNumberFormat="1" applyFill="1" applyBorder="1"/>
    <xf numFmtId="165" fontId="0" fillId="4" borderId="0" xfId="0" applyNumberFormat="1" applyFill="1"/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0" fillId="0" borderId="0" xfId="0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4" fontId="3" fillId="0" borderId="0" xfId="2" applyFont="1" applyFill="1" applyBorder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3" fillId="0" borderId="0" xfId="0" applyFont="1" applyAlignment="1" applyProtection="1">
      <alignment horizontal="center"/>
    </xf>
    <xf numFmtId="1" fontId="3" fillId="5" borderId="15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1" fontId="3" fillId="5" borderId="16" xfId="0" applyNumberFormat="1" applyFont="1" applyFill="1" applyBorder="1" applyProtection="1"/>
    <xf numFmtId="1" fontId="3" fillId="5" borderId="17" xfId="0" applyNumberFormat="1" applyFont="1" applyFill="1" applyBorder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44" fontId="3" fillId="5" borderId="18" xfId="2" applyFont="1" applyFill="1" applyBorder="1" applyProtection="1"/>
    <xf numFmtId="44" fontId="3" fillId="5" borderId="15" xfId="2" applyFont="1" applyFill="1" applyBorder="1" applyProtection="1"/>
    <xf numFmtId="44" fontId="3" fillId="5" borderId="19" xfId="2" applyFont="1" applyFill="1" applyBorder="1" applyProtection="1"/>
    <xf numFmtId="44" fontId="3" fillId="5" borderId="16" xfId="2" applyFont="1" applyFill="1" applyBorder="1" applyProtection="1"/>
    <xf numFmtId="44" fontId="3" fillId="5" borderId="20" xfId="2" applyFont="1" applyFill="1" applyBorder="1" applyProtection="1"/>
    <xf numFmtId="44" fontId="3" fillId="5" borderId="17" xfId="2" applyFont="1" applyFill="1" applyBorder="1" applyProtection="1"/>
    <xf numFmtId="44" fontId="3" fillId="5" borderId="15" xfId="0" applyNumberFormat="1" applyFont="1" applyFill="1" applyBorder="1" applyProtection="1"/>
    <xf numFmtId="44" fontId="3" fillId="5" borderId="16" xfId="0" applyNumberFormat="1" applyFont="1" applyFill="1" applyBorder="1" applyProtection="1"/>
    <xf numFmtId="44" fontId="3" fillId="5" borderId="17" xfId="0" applyNumberFormat="1" applyFont="1" applyFill="1" applyBorder="1" applyProtection="1"/>
    <xf numFmtId="43" fontId="3" fillId="5" borderId="21" xfId="1" applyFont="1" applyFill="1" applyBorder="1" applyAlignment="1" applyProtection="1">
      <alignment horizontal="right"/>
    </xf>
    <xf numFmtId="0" fontId="3" fillId="5" borderId="22" xfId="0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Fill="1"/>
    <xf numFmtId="0" fontId="1" fillId="0" borderId="0" xfId="0" applyFont="1" applyFill="1" applyBorder="1"/>
    <xf numFmtId="0" fontId="10" fillId="0" borderId="17" xfId="0" applyFont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64" fontId="8" fillId="6" borderId="23" xfId="1" applyNumberFormat="1" applyFont="1" applyFill="1" applyBorder="1" applyAlignment="1" applyProtection="1">
      <alignment horizontal="center"/>
      <protection locked="0"/>
    </xf>
    <xf numFmtId="44" fontId="3" fillId="7" borderId="23" xfId="0" applyNumberFormat="1" applyFont="1" applyFill="1" applyBorder="1" applyProtection="1"/>
    <xf numFmtId="43" fontId="0" fillId="0" borderId="0" xfId="0" applyNumberFormat="1" applyProtection="1"/>
    <xf numFmtId="0" fontId="0" fillId="0" borderId="0" xfId="0" applyFill="1" applyAlignment="1" applyProtection="1">
      <alignment vertical="center"/>
    </xf>
    <xf numFmtId="0" fontId="2" fillId="8" borderId="0" xfId="0" applyFont="1" applyFill="1" applyProtection="1"/>
    <xf numFmtId="3" fontId="8" fillId="6" borderId="23" xfId="1" applyNumberFormat="1" applyFont="1" applyFill="1" applyBorder="1" applyAlignment="1" applyProtection="1">
      <alignment horizontal="center"/>
    </xf>
    <xf numFmtId="0" fontId="0" fillId="0" borderId="26" xfId="0" applyFill="1" applyBorder="1" applyProtection="1"/>
    <xf numFmtId="0" fontId="1" fillId="0" borderId="27" xfId="0" applyFont="1" applyFill="1" applyBorder="1" applyProtection="1"/>
    <xf numFmtId="0" fontId="1" fillId="0" borderId="0" xfId="0" applyFont="1" applyFill="1" applyBorder="1" applyProtection="1"/>
    <xf numFmtId="0" fontId="3" fillId="0" borderId="27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28" xfId="0" applyFill="1" applyBorder="1" applyProtection="1"/>
    <xf numFmtId="0" fontId="3" fillId="0" borderId="29" xfId="0" applyFont="1" applyFill="1" applyBorder="1" applyProtection="1"/>
    <xf numFmtId="0" fontId="3" fillId="0" borderId="30" xfId="0" applyFont="1" applyFill="1" applyBorder="1" applyProtection="1"/>
    <xf numFmtId="0" fontId="1" fillId="0" borderId="31" xfId="0" applyFont="1" applyFill="1" applyBorder="1" applyProtection="1"/>
    <xf numFmtId="0" fontId="0" fillId="0" borderId="32" xfId="0" applyFill="1" applyBorder="1" applyProtection="1"/>
    <xf numFmtId="0" fontId="3" fillId="0" borderId="31" xfId="0" applyFont="1" applyFill="1" applyBorder="1" applyProtection="1"/>
    <xf numFmtId="0" fontId="3" fillId="0" borderId="32" xfId="0" applyFont="1" applyFill="1" applyBorder="1" applyProtection="1"/>
    <xf numFmtId="0" fontId="11" fillId="0" borderId="0" xfId="0" applyFont="1"/>
    <xf numFmtId="166" fontId="11" fillId="0" borderId="0" xfId="1" applyNumberFormat="1" applyFont="1" applyFill="1" applyBorder="1" applyAlignment="1" applyProtection="1">
      <alignment vertical="center"/>
    </xf>
    <xf numFmtId="0" fontId="12" fillId="0" borderId="0" xfId="0" applyFont="1"/>
    <xf numFmtId="166" fontId="12" fillId="0" borderId="0" xfId="1" applyNumberFormat="1" applyFont="1" applyFill="1" applyBorder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0" fillId="0" borderId="27" xfId="0" applyFill="1" applyBorder="1" applyProtection="1"/>
    <xf numFmtId="0" fontId="0" fillId="0" borderId="27" xfId="0" applyFill="1" applyBorder="1" applyAlignment="1" applyProtection="1">
      <alignment vertical="center"/>
    </xf>
    <xf numFmtId="0" fontId="0" fillId="8" borderId="0" xfId="0" applyFill="1"/>
    <xf numFmtId="0" fontId="0" fillId="0" borderId="31" xfId="0" applyFill="1" applyBorder="1" applyProtection="1"/>
    <xf numFmtId="0" fontId="0" fillId="0" borderId="31" xfId="0" applyFill="1" applyBorder="1" applyAlignment="1" applyProtection="1">
      <alignment vertical="center"/>
    </xf>
    <xf numFmtId="0" fontId="1" fillId="2" borderId="0" xfId="0" applyFont="1" applyFill="1" applyBorder="1"/>
    <xf numFmtId="165" fontId="0" fillId="2" borderId="0" xfId="0" applyNumberFormat="1" applyFill="1" applyBorder="1"/>
    <xf numFmtId="165" fontId="0" fillId="8" borderId="0" xfId="0" applyNumberFormat="1" applyFill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1" fillId="8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4" fillId="9" borderId="33" xfId="0" applyFont="1" applyFill="1" applyBorder="1" applyAlignment="1" applyProtection="1">
      <alignment horizontal="center" vertical="center"/>
    </xf>
    <xf numFmtId="0" fontId="14" fillId="9" borderId="34" xfId="0" applyFont="1" applyFill="1" applyBorder="1" applyAlignment="1" applyProtection="1">
      <alignment horizontal="center" vertical="center"/>
    </xf>
    <xf numFmtId="0" fontId="14" fillId="9" borderId="35" xfId="0" applyFont="1" applyFill="1" applyBorder="1" applyAlignment="1" applyProtection="1">
      <alignment horizontal="center" vertical="center"/>
    </xf>
    <xf numFmtId="0" fontId="14" fillId="10" borderId="36" xfId="0" applyFont="1" applyFill="1" applyBorder="1" applyAlignment="1" applyProtection="1">
      <alignment horizontal="center" vertical="center"/>
    </xf>
    <xf numFmtId="0" fontId="14" fillId="10" borderId="37" xfId="0" applyFont="1" applyFill="1" applyBorder="1" applyAlignment="1" applyProtection="1">
      <alignment horizontal="center" vertical="center"/>
    </xf>
    <xf numFmtId="0" fontId="14" fillId="10" borderId="38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kW required to Heat Pool on Initial Heat Up</a:t>
            </a:r>
          </a:p>
        </c:rich>
      </c:tx>
      <c:layout>
        <c:manualLayout>
          <c:xMode val="edge"/>
          <c:yMode val="edge"/>
          <c:x val="0.35413639666723079"/>
          <c:y val="4.16667751241838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04789550072593"/>
          <c:y val="0.22916759915201504"/>
          <c:w val="0.74310595065312179"/>
          <c:h val="0.50833540175537772"/>
        </c:manualLayout>
      </c:layout>
      <c:lineChart>
        <c:grouping val="standard"/>
        <c:ser>
          <c:idx val="0"/>
          <c:order val="0"/>
          <c:tx>
            <c:strRef>
              <c:f>Calculation!$H$25</c:f>
              <c:strCache>
                <c:ptCount val="1"/>
                <c:pt idx="0">
                  <c:v>No Cover</c:v>
                </c:pt>
              </c:strCache>
            </c:strRef>
          </c:tx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Calculation!$F$27:$F$38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Calculation!$H$27:$H$38</c:f>
              <c:numCache>
                <c:formatCode>0</c:formatCode>
                <c:ptCount val="12"/>
                <c:pt idx="0">
                  <c:v>431.27640000000014</c:v>
                </c:pt>
                <c:pt idx="1">
                  <c:v>422.82000000000005</c:v>
                </c:pt>
                <c:pt idx="2">
                  <c:v>558.1224000000002</c:v>
                </c:pt>
                <c:pt idx="3">
                  <c:v>811.81440000000021</c:v>
                </c:pt>
                <c:pt idx="4">
                  <c:v>1158.5268000000001</c:v>
                </c:pt>
                <c:pt idx="5">
                  <c:v>1353.0240000000001</c:v>
                </c:pt>
                <c:pt idx="6">
                  <c:v>1446.0444000000002</c:v>
                </c:pt>
                <c:pt idx="7">
                  <c:v>1310.7420000000002</c:v>
                </c:pt>
                <c:pt idx="8">
                  <c:v>1065.5064</c:v>
                </c:pt>
                <c:pt idx="9">
                  <c:v>794.90159999999992</c:v>
                </c:pt>
                <c:pt idx="10">
                  <c:v>617.31720000000007</c:v>
                </c:pt>
                <c:pt idx="11">
                  <c:v>498.92759999999993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3E-467A-9EA2-0D3D5D40B3E0}"/>
            </c:ext>
          </c:extLst>
        </c:ser>
        <c:ser>
          <c:idx val="1"/>
          <c:order val="1"/>
          <c:tx>
            <c:strRef>
              <c:f>Calculation!$I$25</c:f>
              <c:strCache>
                <c:ptCount val="1"/>
                <c:pt idx="0">
                  <c:v>With Cover</c:v>
                </c:pt>
              </c:strCache>
            </c:strRef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Calculation!$I$27:$I$38</c:f>
              <c:numCache>
                <c:formatCode>0</c:formatCode>
                <c:ptCount val="12"/>
                <c:pt idx="0">
                  <c:v>258.76584000000008</c:v>
                </c:pt>
                <c:pt idx="1">
                  <c:v>253.69200000000001</c:v>
                </c:pt>
                <c:pt idx="2">
                  <c:v>334.87344000000013</c:v>
                </c:pt>
                <c:pt idx="3">
                  <c:v>487.08864000000011</c:v>
                </c:pt>
                <c:pt idx="4">
                  <c:v>695.11608000000001</c:v>
                </c:pt>
                <c:pt idx="5">
                  <c:v>811.81440000000009</c:v>
                </c:pt>
                <c:pt idx="6">
                  <c:v>867.62664000000007</c:v>
                </c:pt>
                <c:pt idx="7">
                  <c:v>786.44520000000011</c:v>
                </c:pt>
                <c:pt idx="8">
                  <c:v>639.30383999999992</c:v>
                </c:pt>
                <c:pt idx="9">
                  <c:v>476.9409599999999</c:v>
                </c:pt>
                <c:pt idx="10">
                  <c:v>370.39032000000003</c:v>
                </c:pt>
                <c:pt idx="11">
                  <c:v>299.35655999999994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13E-467A-9EA2-0D3D5D40B3E0}"/>
            </c:ext>
          </c:extLst>
        </c:ser>
        <c:dLbls/>
        <c:marker val="1"/>
        <c:axId val="53711232"/>
        <c:axId val="71700864"/>
      </c:lineChart>
      <c:catAx>
        <c:axId val="5371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847593165898508"/>
              <c:y val="0.850003687555584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700864"/>
        <c:crosses val="autoZero"/>
        <c:auto val="1"/>
        <c:lblAlgn val="ctr"/>
        <c:lblOffset val="100"/>
        <c:tickLblSkip val="1"/>
        <c:tickMarkSkip val="1"/>
      </c:catAx>
      <c:valAx>
        <c:axId val="71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kW for initial Heat Up</a:t>
                </a:r>
              </a:p>
            </c:rich>
          </c:tx>
          <c:layout>
            <c:manualLayout>
              <c:xMode val="edge"/>
              <c:yMode val="edge"/>
              <c:x val="2.3222008753330609E-2"/>
              <c:y val="0.2708349059673326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1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85166455962925"/>
          <c:y val="0.48362378256436961"/>
          <c:w val="0.12792697373005368"/>
          <c:h val="0.22131927723910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Initial Heat up Cost in month of heating</a:t>
            </a:r>
          </a:p>
        </c:rich>
      </c:tx>
      <c:layout>
        <c:manualLayout>
          <c:xMode val="edge"/>
          <c:yMode val="edge"/>
          <c:x val="0.32220593269831044"/>
          <c:y val="3.59477837547534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693759071117534E-2"/>
          <c:y val="0.215686962849018"/>
          <c:w val="0.73730043541364332"/>
          <c:h val="0.64052491997587335"/>
        </c:manualLayout>
      </c:layout>
      <c:lineChart>
        <c:grouping val="standard"/>
        <c:ser>
          <c:idx val="0"/>
          <c:order val="0"/>
          <c:tx>
            <c:strRef>
              <c:f>Calculation!$H$51</c:f>
              <c:strCache>
                <c:ptCount val="1"/>
                <c:pt idx="0">
                  <c:v>No Cover</c:v>
                </c:pt>
              </c:strCache>
            </c:strRef>
          </c:tx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multiLvlStrRef>
              <c:f>Calculation!$F$52:$F$63</c:f>
            </c:multiLvlStrRef>
          </c:cat>
          <c:val>
            <c:numRef>
              <c:f>Calculation!$H$52:$H$63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CDC-47DA-BFB4-612A0D962B30}"/>
            </c:ext>
          </c:extLst>
        </c:ser>
        <c:ser>
          <c:idx val="1"/>
          <c:order val="1"/>
          <c:tx>
            <c:strRef>
              <c:f>Calculation!$I$51</c:f>
              <c:strCache>
                <c:ptCount val="1"/>
                <c:pt idx="0">
                  <c:v>With Cover</c:v>
                </c:pt>
              </c:strCache>
            </c:strRef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Calculation!$I$52:$I$63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CDC-47DA-BFB4-612A0D962B30}"/>
            </c:ext>
          </c:extLst>
        </c:ser>
        <c:dLbls/>
        <c:marker val="1"/>
        <c:axId val="52424704"/>
        <c:axId val="52426240"/>
      </c:lineChart>
      <c:catAx>
        <c:axId val="52424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26240"/>
        <c:crosses val="autoZero"/>
        <c:auto val="1"/>
        <c:lblAlgn val="ctr"/>
        <c:lblOffset val="100"/>
        <c:tickLblSkip val="1"/>
        <c:tickMarkSkip val="1"/>
      </c:catAx>
      <c:valAx>
        <c:axId val="5242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&quot;$&quot;* #,##0.00_-;\-&quot;$&quot;* #,##0.00_-;_-&quot;$&quot;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2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78805270824532"/>
          <c:y val="0.55884202593487708"/>
          <c:w val="0.13788737405266793"/>
          <c:h val="0.183012568973432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Monthly Maintenance Heating Cost</a:t>
            </a:r>
          </a:p>
        </c:rich>
      </c:tx>
      <c:layout>
        <c:manualLayout>
          <c:xMode val="edge"/>
          <c:yMode val="edge"/>
          <c:x val="0.34542825279060918"/>
          <c:y val="3.678953690110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40203193033404"/>
          <c:y val="0.21739130434782616"/>
          <c:w val="0.75181422351233729"/>
          <c:h val="0.63545150501672198"/>
        </c:manualLayout>
      </c:layout>
      <c:barChart>
        <c:barDir val="col"/>
        <c:grouping val="clustered"/>
        <c:ser>
          <c:idx val="0"/>
          <c:order val="0"/>
          <c:tx>
            <c:strRef>
              <c:f>Temperatures!$C$50</c:f>
              <c:strCache>
                <c:ptCount val="1"/>
                <c:pt idx="0">
                  <c:v>No Cover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Calculation!$F$65:$F$76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Temperatures!$C$51:$C$62</c:f>
              <c:numCache>
                <c:formatCode>_-"$"* #,##0.00_-;\-"$"* #,##0.00_-;_-"$"* "-"??_-;_-@_-</c:formatCode>
                <c:ptCount val="12"/>
                <c:pt idx="0">
                  <c:v>224.60874912000006</c:v>
                </c:pt>
                <c:pt idx="1">
                  <c:v>198.89452800000001</c:v>
                </c:pt>
                <c:pt idx="2">
                  <c:v>290.67014592000015</c:v>
                </c:pt>
                <c:pt idx="3">
                  <c:v>409.15445760000011</c:v>
                </c:pt>
                <c:pt idx="4">
                  <c:v>754.20094680000011</c:v>
                </c:pt>
                <c:pt idx="5">
                  <c:v>852.40512000000012</c:v>
                </c:pt>
                <c:pt idx="6">
                  <c:v>941.37490439999999</c:v>
                </c:pt>
                <c:pt idx="7">
                  <c:v>853.29304200000013</c:v>
                </c:pt>
                <c:pt idx="8">
                  <c:v>693.64466640000001</c:v>
                </c:pt>
                <c:pt idx="9">
                  <c:v>400.63040639999986</c:v>
                </c:pt>
                <c:pt idx="10">
                  <c:v>321.49879776</c:v>
                </c:pt>
                <c:pt idx="11">
                  <c:v>259.8414940799999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0E-4CE5-AE18-DAD58B06393D}"/>
            </c:ext>
          </c:extLst>
        </c:ser>
        <c:ser>
          <c:idx val="1"/>
          <c:order val="1"/>
          <c:tx>
            <c:strRef>
              <c:f>Temperatures!$D$50</c:f>
              <c:strCache>
                <c:ptCount val="1"/>
                <c:pt idx="0">
                  <c:v>With Cover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Calculation!$F$65:$F$76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Temperatures!$D$51:$D$62</c:f>
              <c:numCache>
                <c:formatCode>_-"$"* #,##0.00_-;\-"$"* #,##0.00_-;_-"$"* "-"??_-;_-@_-</c:formatCode>
                <c:ptCount val="12"/>
                <c:pt idx="0">
                  <c:v>134.76524947200002</c:v>
                </c:pt>
                <c:pt idx="1">
                  <c:v>132.12279359999999</c:v>
                </c:pt>
                <c:pt idx="2">
                  <c:v>174.4020875520001</c:v>
                </c:pt>
                <c:pt idx="3">
                  <c:v>253.67576371200008</c:v>
                </c:pt>
                <c:pt idx="4">
                  <c:v>452.52056808000003</c:v>
                </c:pt>
                <c:pt idx="5">
                  <c:v>528.49117440000009</c:v>
                </c:pt>
                <c:pt idx="6">
                  <c:v>564.82494264000002</c:v>
                </c:pt>
                <c:pt idx="7">
                  <c:v>511.97582520000009</c:v>
                </c:pt>
                <c:pt idx="8">
                  <c:v>416.18679983999994</c:v>
                </c:pt>
                <c:pt idx="9">
                  <c:v>248.39085196799988</c:v>
                </c:pt>
                <c:pt idx="10">
                  <c:v>192.89927865600001</c:v>
                </c:pt>
                <c:pt idx="11">
                  <c:v>155.90489644799996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0E-4CE5-AE18-DAD58B06393D}"/>
            </c:ext>
          </c:extLst>
        </c:ser>
        <c:dLbls/>
        <c:axId val="53279360"/>
        <c:axId val="53719424"/>
      </c:barChart>
      <c:catAx>
        <c:axId val="53279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19424"/>
        <c:crosses val="autoZero"/>
        <c:auto val="1"/>
        <c:lblAlgn val="ctr"/>
        <c:lblOffset val="100"/>
        <c:tickLblSkip val="1"/>
        <c:tickMarkSkip val="1"/>
      </c:catAx>
      <c:valAx>
        <c:axId val="5371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&quot;$&quot;* #,##0.00_-;\-&quot;$&quot;* #,##0.00_-;_-&quot;$&quot;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27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55281520490302"/>
          <c:y val="0.50503420970683743"/>
          <c:w val="0.1160877226675292"/>
          <c:h val="0.17391948040393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Temperature Chart</a:t>
            </a:r>
          </a:p>
        </c:rich>
      </c:tx>
      <c:layout>
        <c:manualLayout>
          <c:xMode val="edge"/>
          <c:yMode val="edge"/>
          <c:x val="0.42029030462101324"/>
          <c:y val="3.77357963334431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507367396070524E-2"/>
          <c:y val="0.21886832780868201"/>
          <c:w val="0.74818973961049706"/>
          <c:h val="0.62893200614074185"/>
        </c:manualLayout>
      </c:layout>
      <c:lineChart>
        <c:grouping val="standard"/>
        <c:ser>
          <c:idx val="0"/>
          <c:order val="0"/>
          <c:tx>
            <c:strRef>
              <c:f>Temperatures!$A$2</c:f>
              <c:strCache>
                <c:ptCount val="1"/>
                <c:pt idx="0">
                  <c:v>Desired Temp</c:v>
                </c:pt>
              </c:strCache>
            </c:strRef>
          </c:tx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Temperatures!$B$4:$M$4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Temperatures!$B$2:$M$2</c:f>
              <c:numCache>
                <c:formatCode>General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74-495E-8ACF-EDCABD814946}"/>
            </c:ext>
          </c:extLst>
        </c:ser>
        <c:ser>
          <c:idx val="1"/>
          <c:order val="1"/>
          <c:tx>
            <c:v>Unheated Pool Temperature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Temperatures!$B$12:$M$12</c:f>
              <c:numCache>
                <c:formatCode>General</c:formatCode>
                <c:ptCount val="12"/>
                <c:pt idx="0">
                  <c:v>22.9</c:v>
                </c:pt>
                <c:pt idx="1">
                  <c:v>23</c:v>
                </c:pt>
                <c:pt idx="2">
                  <c:v>21.4</c:v>
                </c:pt>
                <c:pt idx="3">
                  <c:v>18.399999999999999</c:v>
                </c:pt>
                <c:pt idx="4">
                  <c:v>14.3</c:v>
                </c:pt>
                <c:pt idx="5">
                  <c:v>12</c:v>
                </c:pt>
                <c:pt idx="6">
                  <c:v>10.9</c:v>
                </c:pt>
                <c:pt idx="7">
                  <c:v>12.5</c:v>
                </c:pt>
                <c:pt idx="8">
                  <c:v>15.4</c:v>
                </c:pt>
                <c:pt idx="9">
                  <c:v>18.600000000000001</c:v>
                </c:pt>
                <c:pt idx="10">
                  <c:v>20.7</c:v>
                </c:pt>
                <c:pt idx="11">
                  <c:v>22.1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474-495E-8ACF-EDCABD814946}"/>
            </c:ext>
          </c:extLst>
        </c:ser>
        <c:ser>
          <c:idx val="2"/>
          <c:order val="2"/>
          <c:tx>
            <c:v>Acheived Water Temperature with Heat Pump</c:v>
          </c:tx>
          <c:spPr>
            <a:ln w="381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Temperatures!$B$43:$M$43</c:f>
              <c:numCache>
                <c:formatCode>0.0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474-495E-8ACF-EDCABD814946}"/>
            </c:ext>
          </c:extLst>
        </c:ser>
        <c:dLbls/>
        <c:marker val="1"/>
        <c:axId val="71531136"/>
        <c:axId val="71561984"/>
      </c:lineChart>
      <c:catAx>
        <c:axId val="71531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37894045441289537"/>
              <c:y val="0.914466832330369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561984"/>
        <c:crosses val="autoZero"/>
        <c:auto val="1"/>
        <c:lblAlgn val="ctr"/>
        <c:lblOffset val="100"/>
        <c:tickLblSkip val="1"/>
        <c:tickMarkSkip val="1"/>
      </c:catAx>
      <c:valAx>
        <c:axId val="71561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</a:t>
                </a:r>
              </a:p>
            </c:rich>
          </c:tx>
          <c:layout>
            <c:manualLayout>
              <c:xMode val="edge"/>
              <c:yMode val="edge"/>
              <c:x val="2.3188048463639015E-2"/>
              <c:y val="0.396227258664910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53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2907288104138"/>
          <c:y val="0.20677344989670973"/>
          <c:w val="0.1263776876375301"/>
          <c:h val="0.676713471652545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3.xml"/><Relationship Id="rId7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99</xdr:row>
      <xdr:rowOff>0</xdr:rowOff>
    </xdr:from>
    <xdr:to>
      <xdr:col>8</xdr:col>
      <xdr:colOff>495300</xdr:colOff>
      <xdr:row>113</xdr:row>
      <xdr:rowOff>57150</xdr:rowOff>
    </xdr:to>
    <xdr:graphicFrame macro="">
      <xdr:nvGraphicFramePr>
        <xdr:cNvPr id="1921" name="Chart 28">
          <a:extLst>
            <a:ext uri="{FF2B5EF4-FFF2-40B4-BE49-F238E27FC236}">
              <a16:creationId xmlns:a16="http://schemas.microsoft.com/office/drawing/2014/main" xmlns="" id="{40E336C9-1587-406F-B98E-354005905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119</xdr:row>
      <xdr:rowOff>66675</xdr:rowOff>
    </xdr:from>
    <xdr:to>
      <xdr:col>8</xdr:col>
      <xdr:colOff>419100</xdr:colOff>
      <xdr:row>137</xdr:row>
      <xdr:rowOff>66675</xdr:rowOff>
    </xdr:to>
    <xdr:graphicFrame macro="">
      <xdr:nvGraphicFramePr>
        <xdr:cNvPr id="1922" name="Chart 29">
          <a:extLst>
            <a:ext uri="{FF2B5EF4-FFF2-40B4-BE49-F238E27FC236}">
              <a16:creationId xmlns:a16="http://schemas.microsoft.com/office/drawing/2014/main" xmlns="" id="{4C325599-1A60-46DE-8A6A-27A9E392D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138</xdr:row>
      <xdr:rowOff>28575</xdr:rowOff>
    </xdr:from>
    <xdr:to>
      <xdr:col>8</xdr:col>
      <xdr:colOff>419100</xdr:colOff>
      <xdr:row>155</xdr:row>
      <xdr:rowOff>123825</xdr:rowOff>
    </xdr:to>
    <xdr:graphicFrame macro="">
      <xdr:nvGraphicFramePr>
        <xdr:cNvPr id="1923" name="Chart 30">
          <a:extLst>
            <a:ext uri="{FF2B5EF4-FFF2-40B4-BE49-F238E27FC236}">
              <a16:creationId xmlns:a16="http://schemas.microsoft.com/office/drawing/2014/main" xmlns="" id="{D0018FFA-EBA2-4D46-89A9-449AFBE9E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82</xdr:row>
      <xdr:rowOff>142875</xdr:rowOff>
    </xdr:from>
    <xdr:to>
      <xdr:col>8</xdr:col>
      <xdr:colOff>495300</xdr:colOff>
      <xdr:row>98</xdr:row>
      <xdr:rowOff>85725</xdr:rowOff>
    </xdr:to>
    <xdr:graphicFrame macro="">
      <xdr:nvGraphicFramePr>
        <xdr:cNvPr id="1924" name="Chart 31">
          <a:extLst>
            <a:ext uri="{FF2B5EF4-FFF2-40B4-BE49-F238E27FC236}">
              <a16:creationId xmlns:a16="http://schemas.microsoft.com/office/drawing/2014/main" xmlns="" id="{BD1EE797-2F02-4F69-BC89-1592B5418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76200</xdr:colOff>
      <xdr:row>2</xdr:row>
      <xdr:rowOff>57150</xdr:rowOff>
    </xdr:to>
    <xdr:pic>
      <xdr:nvPicPr>
        <xdr:cNvPr id="1925" name="Picture 35" descr="Logo_Astralpool_800">
          <a:extLst>
            <a:ext uri="{FF2B5EF4-FFF2-40B4-BE49-F238E27FC236}">
              <a16:creationId xmlns:a16="http://schemas.microsoft.com/office/drawing/2014/main" xmlns="" id="{1180D02F-B08B-4967-85A0-E15DB3D8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85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495300</xdr:colOff>
      <xdr:row>175</xdr:row>
      <xdr:rowOff>28575</xdr:rowOff>
    </xdr:from>
    <xdr:to>
      <xdr:col>8</xdr:col>
      <xdr:colOff>447675</xdr:colOff>
      <xdr:row>177</xdr:row>
      <xdr:rowOff>104775</xdr:rowOff>
    </xdr:to>
    <xdr:pic>
      <xdr:nvPicPr>
        <xdr:cNvPr id="1926" name="Picture 36" descr="Fluidra_vertical_policromatica">
          <a:extLst>
            <a:ext uri="{FF2B5EF4-FFF2-40B4-BE49-F238E27FC236}">
              <a16:creationId xmlns:a16="http://schemas.microsoft.com/office/drawing/2014/main" xmlns="" id="{2FB0CE94-3364-47F4-AC37-953CBBF6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9925" y="29698950"/>
          <a:ext cx="1276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47</xdr:row>
      <xdr:rowOff>28575</xdr:rowOff>
    </xdr:from>
    <xdr:to>
      <xdr:col>2</xdr:col>
      <xdr:colOff>180975</xdr:colOff>
      <xdr:row>49</xdr:row>
      <xdr:rowOff>85725</xdr:rowOff>
    </xdr:to>
    <xdr:pic>
      <xdr:nvPicPr>
        <xdr:cNvPr id="1927" name="Picture 38" descr="Logo_Astralpool_800">
          <a:extLst>
            <a:ext uri="{FF2B5EF4-FFF2-40B4-BE49-F238E27FC236}">
              <a16:creationId xmlns:a16="http://schemas.microsoft.com/office/drawing/2014/main" xmlns="" id="{BD6A459F-67CB-463C-B48E-E6CD8579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8896350"/>
          <a:ext cx="2190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115</xdr:row>
      <xdr:rowOff>66675</xdr:rowOff>
    </xdr:from>
    <xdr:to>
      <xdr:col>2</xdr:col>
      <xdr:colOff>285750</xdr:colOff>
      <xdr:row>117</xdr:row>
      <xdr:rowOff>85725</xdr:rowOff>
    </xdr:to>
    <xdr:pic>
      <xdr:nvPicPr>
        <xdr:cNvPr id="1928" name="Picture 48" descr="Logo_Astralpool_800">
          <a:extLst>
            <a:ext uri="{FF2B5EF4-FFF2-40B4-BE49-F238E27FC236}">
              <a16:creationId xmlns:a16="http://schemas.microsoft.com/office/drawing/2014/main" xmlns="" id="{5B783096-169D-41EE-ABB4-49109CA9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0021550"/>
          <a:ext cx="2266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3</xdr:row>
      <xdr:rowOff>57150</xdr:rowOff>
    </xdr:from>
    <xdr:to>
      <xdr:col>9</xdr:col>
      <xdr:colOff>257175</xdr:colOff>
      <xdr:row>15</xdr:row>
      <xdr:rowOff>76200</xdr:rowOff>
    </xdr:to>
    <xdr:pic>
      <xdr:nvPicPr>
        <xdr:cNvPr id="1929" name="1 Imagen">
          <a:extLst>
            <a:ext uri="{FF2B5EF4-FFF2-40B4-BE49-F238E27FC236}">
              <a16:creationId xmlns:a16="http://schemas.microsoft.com/office/drawing/2014/main" xmlns="" id="{0BC4FE5D-9F92-4CB8-AFA9-3B72BDB53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72175" y="542925"/>
          <a:ext cx="2867025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175"/>
  <sheetViews>
    <sheetView showGridLines="0" showRowColHeaders="0" tabSelected="1" zoomScale="125" zoomScaleNormal="125" zoomScaleSheetLayoutView="100" workbookViewId="0">
      <selection activeCell="D26" sqref="D26"/>
    </sheetView>
  </sheetViews>
  <sheetFormatPr defaultColWidth="8.6640625" defaultRowHeight="13.2" outlineLevelRow="1"/>
  <cols>
    <col min="1" max="1" width="11.44140625" customWidth="1"/>
    <col min="2" max="2" width="19" customWidth="1"/>
    <col min="3" max="3" width="23" customWidth="1"/>
    <col min="4" max="4" width="23.6640625" customWidth="1"/>
    <col min="5" max="5" width="8.6640625" customWidth="1"/>
    <col min="6" max="6" width="12" customWidth="1"/>
    <col min="7" max="7" width="9.109375" customWidth="1"/>
    <col min="8" max="8" width="10.6640625" customWidth="1"/>
    <col min="9" max="9" width="11" bestFit="1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33" t="s">
        <v>62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3.8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3.8" thickBot="1">
      <c r="A8" s="34" t="s">
        <v>23</v>
      </c>
      <c r="B8" s="34" t="s">
        <v>38</v>
      </c>
      <c r="C8" s="32"/>
      <c r="D8" s="67" t="s">
        <v>6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33.9" customHeight="1">
      <c r="A9" s="32"/>
      <c r="B9" s="32"/>
      <c r="C9" s="3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32"/>
      <c r="B10" s="32"/>
      <c r="C10" s="3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32"/>
      <c r="B11" s="32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>
      <c r="A12" s="32"/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75" customHeight="1">
      <c r="A13" s="32"/>
      <c r="B13" s="32"/>
      <c r="C13" s="32"/>
      <c r="D13" s="32"/>
      <c r="E13" s="36"/>
      <c r="F13" s="32"/>
      <c r="G13" s="37"/>
      <c r="H13" s="32"/>
      <c r="I13" s="32"/>
      <c r="J13" s="32"/>
      <c r="K13" s="32"/>
      <c r="L13" s="32"/>
      <c r="M13" s="32"/>
      <c r="N13" s="32"/>
    </row>
    <row r="14" spans="1:14" ht="31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3.5" customHeight="1" thickBot="1">
      <c r="A15" s="34" t="s">
        <v>24</v>
      </c>
      <c r="B15" s="34" t="s">
        <v>7</v>
      </c>
      <c r="C15" s="34"/>
      <c r="D15" s="38" t="s">
        <v>11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3.8" thickBot="1">
      <c r="A16" s="32"/>
      <c r="B16" s="32"/>
      <c r="C16" s="32" t="s">
        <v>8</v>
      </c>
      <c r="D16" s="67">
        <v>12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3.8" thickBot="1">
      <c r="A17" s="32"/>
      <c r="B17" s="32"/>
      <c r="C17" s="32"/>
      <c r="D17" s="39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3.8" thickBot="1">
      <c r="A18" s="32"/>
      <c r="B18" s="32"/>
      <c r="C18" s="32" t="s">
        <v>9</v>
      </c>
      <c r="D18" s="67">
        <v>4.5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3.8" thickBot="1">
      <c r="A19" s="32"/>
      <c r="B19" s="32"/>
      <c r="C19" s="32"/>
      <c r="D19" s="39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3.8" thickBot="1">
      <c r="A20" s="32"/>
      <c r="B20" s="32"/>
      <c r="C20" s="32" t="s">
        <v>10</v>
      </c>
      <c r="D20" s="67">
        <v>1.35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3.8" thickBot="1">
      <c r="A21" s="32"/>
      <c r="B21" s="32"/>
      <c r="C21" s="32"/>
      <c r="D21" s="40"/>
      <c r="E21" s="32"/>
      <c r="F21" s="32"/>
      <c r="G21" s="32"/>
      <c r="H21" s="32"/>
      <c r="I21" s="32"/>
      <c r="J21" s="32"/>
      <c r="K21" s="71"/>
      <c r="L21" s="32"/>
      <c r="M21" s="32"/>
      <c r="N21" s="32"/>
    </row>
    <row r="22" spans="1:14" ht="13.8" thickBot="1">
      <c r="A22" s="32"/>
      <c r="B22" s="32"/>
      <c r="C22" s="32" t="s">
        <v>78</v>
      </c>
      <c r="D22" s="74">
        <f>D16*D18*D20*1000</f>
        <v>72900</v>
      </c>
      <c r="E22" s="32"/>
      <c r="F22" s="32"/>
      <c r="G22" s="32"/>
      <c r="H22" s="32"/>
      <c r="I22" s="32"/>
      <c r="J22" s="32"/>
      <c r="K22" s="71"/>
      <c r="L22" s="32"/>
      <c r="M22" s="32"/>
      <c r="N22" s="32"/>
    </row>
    <row r="23" spans="1:14" ht="13.8" thickBot="1">
      <c r="A23" s="32"/>
      <c r="B23" s="32"/>
      <c r="C23" s="32"/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3.8" thickBot="1">
      <c r="A24" s="34" t="s">
        <v>25</v>
      </c>
      <c r="B24" s="34" t="s">
        <v>35</v>
      </c>
      <c r="C24" s="34"/>
      <c r="D24" s="67">
        <v>28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3.8" thickBot="1">
      <c r="A25" s="34"/>
      <c r="B25" s="34"/>
      <c r="C25" s="34"/>
      <c r="D25" s="16"/>
      <c r="E25" s="32"/>
      <c r="F25" s="32"/>
      <c r="G25" s="32"/>
      <c r="H25" s="41" t="s">
        <v>56</v>
      </c>
      <c r="I25" s="42" t="s">
        <v>57</v>
      </c>
      <c r="J25" s="32"/>
      <c r="K25" s="32"/>
      <c r="L25" s="32"/>
      <c r="M25" s="32"/>
      <c r="N25" s="32"/>
    </row>
    <row r="26" spans="1:14" ht="13.8" thickBot="1">
      <c r="A26" s="32" t="s">
        <v>27</v>
      </c>
      <c r="B26" s="63" t="s">
        <v>77</v>
      </c>
      <c r="C26" s="32"/>
      <c r="D26" s="68" t="s">
        <v>68</v>
      </c>
      <c r="E26" s="32"/>
      <c r="F26" s="32"/>
      <c r="G26" s="32"/>
      <c r="H26" s="43" t="s">
        <v>37</v>
      </c>
      <c r="I26" s="43" t="s">
        <v>37</v>
      </c>
      <c r="J26" s="43"/>
      <c r="K26" s="32"/>
      <c r="L26" s="32"/>
      <c r="M26" s="33"/>
      <c r="N26" s="32"/>
    </row>
    <row r="27" spans="1:14" ht="13.8" thickBot="1">
      <c r="A27" s="32"/>
      <c r="B27" s="32"/>
      <c r="C27" s="32"/>
      <c r="D27" s="66"/>
      <c r="E27" s="32"/>
      <c r="F27" s="32" t="s">
        <v>42</v>
      </c>
      <c r="G27" s="32"/>
      <c r="H27" s="44">
        <f>IF(D$16*D$18*D$20*1.16*(Temperatures!B43-Temperatures!B12)&lt;0,0,D$16*D$18*D$20*1.16*(Temperatures!B43-Temperatures!B12))</f>
        <v>431.27640000000014</v>
      </c>
      <c r="I27" s="44">
        <f>H27*(1-40%)</f>
        <v>258.76584000000008</v>
      </c>
      <c r="J27" s="32"/>
      <c r="K27" s="32"/>
      <c r="L27" s="32"/>
      <c r="M27" s="32"/>
      <c r="N27" s="32"/>
    </row>
    <row r="28" spans="1:14">
      <c r="A28" s="32"/>
      <c r="B28" s="33"/>
      <c r="C28" s="45" t="s">
        <v>36</v>
      </c>
      <c r="D28" s="33"/>
      <c r="E28" s="32"/>
      <c r="F28" s="32" t="s">
        <v>43</v>
      </c>
      <c r="G28" s="32"/>
      <c r="H28" s="46">
        <f>IF(D$16*D$18*D$20*1.16*(Temperatures!C43-Temperatures!C12)&lt;0,0,D$16*D$18*D$20*1.16*(Temperatures!C43-Temperatures!C12))</f>
        <v>422.82000000000005</v>
      </c>
      <c r="I28" s="46">
        <f t="shared" ref="I28:I38" si="0">H28*(1-40%)</f>
        <v>253.69200000000001</v>
      </c>
      <c r="J28" s="32"/>
      <c r="K28" s="32"/>
      <c r="L28" s="32"/>
      <c r="M28" s="32"/>
      <c r="N28" s="32"/>
    </row>
    <row r="29" spans="1:14">
      <c r="A29" s="32"/>
      <c r="B29" s="33"/>
      <c r="C29" s="45"/>
      <c r="D29" s="33"/>
      <c r="E29" s="32"/>
      <c r="F29" s="32" t="s">
        <v>44</v>
      </c>
      <c r="G29" s="32"/>
      <c r="H29" s="46">
        <f>IF(D$16*D$18*D$20*1.16*(Temperatures!D43-Temperatures!D12)&lt;0,0,D$16*D$18*D$20*1.16*(Temperatures!D43-Temperatures!D12))</f>
        <v>558.1224000000002</v>
      </c>
      <c r="I29" s="46">
        <f t="shared" si="0"/>
        <v>334.87344000000013</v>
      </c>
      <c r="J29" s="32"/>
      <c r="K29" s="32"/>
      <c r="L29" s="32"/>
      <c r="M29" s="32"/>
      <c r="N29" s="32"/>
    </row>
    <row r="30" spans="1:14">
      <c r="A30" s="32"/>
      <c r="B30" s="33"/>
      <c r="C30" s="45"/>
      <c r="D30" s="33"/>
      <c r="E30" s="32"/>
      <c r="F30" s="32" t="s">
        <v>45</v>
      </c>
      <c r="G30" s="32"/>
      <c r="H30" s="46">
        <f>IF($D$26="Solar Alternative",0,IF(D$16*D$18*D$20*1.16*(Temperatures!E43-Temperatures!E12)&lt;0,0,D$16*D$18*D$20*1.16*(Temperatures!E43-Temperatures!E12)))</f>
        <v>811.81440000000021</v>
      </c>
      <c r="I30" s="46">
        <f t="shared" si="0"/>
        <v>487.08864000000011</v>
      </c>
      <c r="J30" s="32"/>
      <c r="K30" s="32"/>
      <c r="L30" s="32"/>
      <c r="M30" s="32"/>
      <c r="N30" s="32"/>
    </row>
    <row r="31" spans="1:14">
      <c r="A31" s="32"/>
      <c r="B31" s="33"/>
      <c r="C31" s="45"/>
      <c r="D31" s="33"/>
      <c r="E31" s="32"/>
      <c r="F31" s="32" t="s">
        <v>46</v>
      </c>
      <c r="G31" s="32"/>
      <c r="H31" s="46">
        <f>IF($D$26="Solar Alternative",0,IF($D$26="Extended Season",0,IF(D$16*D$18*D$20*1.16*(Temperatures!F43-Temperatures!F12)&lt;0,0,D$16*D$18*D$20*1.16*(Temperatures!F43-Temperatures!F12))))</f>
        <v>1158.5268000000001</v>
      </c>
      <c r="I31" s="46">
        <f t="shared" si="0"/>
        <v>695.11608000000001</v>
      </c>
      <c r="J31" s="32"/>
      <c r="K31" s="32"/>
      <c r="L31" s="32"/>
      <c r="M31" s="32"/>
      <c r="N31" s="32"/>
    </row>
    <row r="32" spans="1:14">
      <c r="A32" s="32"/>
      <c r="B32" s="33"/>
      <c r="C32" s="45"/>
      <c r="D32" s="33"/>
      <c r="E32" s="32"/>
      <c r="F32" s="32" t="s">
        <v>47</v>
      </c>
      <c r="G32" s="32"/>
      <c r="H32" s="46">
        <f>IF($D$26="Solar Alternative",0,IF($D$26="Extended Season",0,IF(D$16*D$18*D$20*1.16*(Temperatures!G43-Temperatures!G12)&lt;0,0,D$16*D$18*D$20*1.16*(Temperatures!G43-Temperatures!G12))))</f>
        <v>1353.0240000000001</v>
      </c>
      <c r="I32" s="46">
        <f t="shared" si="0"/>
        <v>811.81440000000009</v>
      </c>
      <c r="J32" s="32"/>
      <c r="K32" s="32"/>
      <c r="L32" s="32"/>
      <c r="M32" s="32"/>
      <c r="N32" s="32"/>
    </row>
    <row r="33" spans="1:14">
      <c r="A33" s="32"/>
      <c r="B33" s="33"/>
      <c r="C33" s="45"/>
      <c r="D33" s="33"/>
      <c r="E33" s="32"/>
      <c r="F33" s="32" t="s">
        <v>48</v>
      </c>
      <c r="G33" s="32"/>
      <c r="H33" s="46">
        <f>IF($D$26="Solar Alternative",0,IF($D$26="Extended Season",0,IF(D$16*D$18*D$20*1.16*(Temperatures!H43-Temperatures!H12)&lt;0,0,D$16*D$18*D$20*1.16*(Temperatures!H43-Temperatures!H12))))</f>
        <v>1446.0444000000002</v>
      </c>
      <c r="I33" s="46">
        <f t="shared" si="0"/>
        <v>867.62664000000007</v>
      </c>
      <c r="J33" s="32"/>
      <c r="K33" s="32"/>
      <c r="L33" s="32"/>
      <c r="M33" s="32"/>
      <c r="N33" s="32"/>
    </row>
    <row r="34" spans="1:14">
      <c r="A34" s="32"/>
      <c r="B34" s="33"/>
      <c r="C34" s="45"/>
      <c r="D34" s="33"/>
      <c r="E34" s="32"/>
      <c r="F34" s="32" t="s">
        <v>49</v>
      </c>
      <c r="G34" s="32"/>
      <c r="H34" s="46">
        <f>IF($D$26="Solar Alternative",0,IF($D$26="Extended Season",0,IF(D$16*D$18*D$20*1.16*(Temperatures!I43-Temperatures!I12)&lt;0,0,D$16*D$18*D$20*1.16*(Temperatures!I43-Temperatures!I12))))</f>
        <v>1310.7420000000002</v>
      </c>
      <c r="I34" s="46">
        <f t="shared" si="0"/>
        <v>786.44520000000011</v>
      </c>
      <c r="J34" s="32"/>
      <c r="K34" s="32"/>
      <c r="L34" s="32"/>
      <c r="M34" s="32"/>
      <c r="N34" s="32"/>
    </row>
    <row r="35" spans="1:14">
      <c r="A35" s="32"/>
      <c r="B35" s="33"/>
      <c r="C35" s="45"/>
      <c r="D35" s="33"/>
      <c r="E35" s="32"/>
      <c r="F35" s="32" t="s">
        <v>50</v>
      </c>
      <c r="G35" s="32"/>
      <c r="H35" s="46">
        <f>IF($D$26="Solar Alternative",0,IF(D$16*D$18*D$20*1.16*(Temperatures!J43-Temperatures!J12)&lt;0,0,D$16*D$18*D$20*1.16*(Temperatures!J43-Temperatures!J12)))</f>
        <v>1065.5064</v>
      </c>
      <c r="I35" s="46">
        <f t="shared" si="0"/>
        <v>639.30383999999992</v>
      </c>
      <c r="J35" s="32"/>
      <c r="K35" s="32"/>
      <c r="L35" s="32"/>
      <c r="M35" s="32"/>
      <c r="N35" s="32"/>
    </row>
    <row r="36" spans="1:14">
      <c r="A36" s="32"/>
      <c r="B36" s="33"/>
      <c r="C36" s="45"/>
      <c r="D36" s="33"/>
      <c r="E36" s="32"/>
      <c r="F36" s="32" t="s">
        <v>51</v>
      </c>
      <c r="G36" s="32"/>
      <c r="H36" s="46">
        <f>IF(D$16*D$18*D$20*1.16*(Temperatures!K43-Temperatures!K12)&lt;0,0,D$16*D$18*D$20*1.16*(Temperatures!K43-Temperatures!K12))</f>
        <v>794.90159999999992</v>
      </c>
      <c r="I36" s="46">
        <f t="shared" si="0"/>
        <v>476.9409599999999</v>
      </c>
      <c r="J36" s="32"/>
      <c r="K36" s="32"/>
      <c r="L36" s="32"/>
      <c r="M36" s="32"/>
      <c r="N36" s="32"/>
    </row>
    <row r="37" spans="1:14">
      <c r="A37" s="32"/>
      <c r="B37" s="33"/>
      <c r="C37" s="45"/>
      <c r="D37" s="33"/>
      <c r="E37" s="32"/>
      <c r="F37" s="32" t="s">
        <v>52</v>
      </c>
      <c r="G37" s="32"/>
      <c r="H37" s="46">
        <f>IF(D$16*D$18*D$20*1.16*(Temperatures!L43-Temperatures!L12)&lt;0,0,D$16*D$18*D$20*1.16*(Temperatures!L43-Temperatures!L12))</f>
        <v>617.31720000000007</v>
      </c>
      <c r="I37" s="46">
        <f t="shared" si="0"/>
        <v>370.39032000000003</v>
      </c>
      <c r="J37" s="32"/>
      <c r="K37" s="32"/>
      <c r="L37" s="32"/>
      <c r="M37" s="32"/>
      <c r="N37" s="32"/>
    </row>
    <row r="38" spans="1:14" ht="13.8" thickBot="1">
      <c r="A38" s="32"/>
      <c r="B38" s="33"/>
      <c r="C38" s="45"/>
      <c r="D38" s="33"/>
      <c r="E38" s="32"/>
      <c r="F38" s="32" t="s">
        <v>53</v>
      </c>
      <c r="G38" s="32"/>
      <c r="H38" s="47">
        <f>IF(D$16*D$18*D$20*1.16*(Temperatures!M43-Temperatures!M12)&lt;0,0,D$16*D$18*D$20*1.16*(Temperatures!M43-Temperatures!M12))</f>
        <v>498.92759999999993</v>
      </c>
      <c r="I38" s="47">
        <f t="shared" si="0"/>
        <v>299.35655999999994</v>
      </c>
      <c r="J38" s="32"/>
      <c r="K38" s="32"/>
      <c r="L38" s="32"/>
      <c r="M38" s="32"/>
      <c r="N38" s="32"/>
    </row>
    <row r="39" spans="1:14">
      <c r="A39" s="32"/>
      <c r="B39" s="33"/>
      <c r="C39" s="45"/>
      <c r="D39" s="33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3.8" thickBo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27.75" customHeight="1" thickBot="1">
      <c r="A41" s="32"/>
      <c r="B41" s="49" t="s">
        <v>87</v>
      </c>
      <c r="C41" s="35"/>
      <c r="D41" s="32"/>
      <c r="E41" s="33"/>
      <c r="F41" s="104" t="str">
        <f>IF($D$26='Model selection'!$C$4,VLOOKUP(1,'Model selection'!$E:$F,2,FALSE),VLOOKUP(1,'Model selection'!$D:$F,3,FALSE))</f>
        <v xml:space="preserve">AstralPool 47.0 KW Commercial </v>
      </c>
      <c r="G41" s="105"/>
      <c r="H41" s="105"/>
      <c r="I41" s="106"/>
      <c r="J41" s="32"/>
      <c r="K41" s="32"/>
      <c r="L41" s="32"/>
      <c r="M41" s="32"/>
      <c r="N41" s="32"/>
    </row>
    <row r="42" spans="1:14" ht="27.75" customHeight="1" thickBot="1">
      <c r="A42" s="48"/>
      <c r="B42" s="49" t="s">
        <v>88</v>
      </c>
      <c r="C42" s="49"/>
      <c r="D42" s="49"/>
      <c r="E42" s="48"/>
      <c r="F42" s="104" t="str">
        <f>IF($D$26='Model selection'!$C$4,VLOOKUP(1,'Model selection'!$K:$L,2,FALSE),VLOOKUP(1,'Model selection'!$J:$L,3,FALSE))</f>
        <v>Inverter Heat Pump iHP242 or Inverter Top iHPT246</v>
      </c>
      <c r="G42" s="105"/>
      <c r="H42" s="105"/>
      <c r="I42" s="106"/>
      <c r="J42" s="32"/>
      <c r="K42" s="32"/>
      <c r="L42" s="32"/>
      <c r="M42" s="32"/>
      <c r="N42" s="32"/>
    </row>
    <row r="43" spans="1:14">
      <c r="A43" s="73" t="s">
        <v>90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17" customFormat="1" ht="27" customHeight="1">
      <c r="J44" s="48"/>
      <c r="K44" s="48"/>
      <c r="L44" s="48"/>
      <c r="M44" s="48"/>
      <c r="N44" s="48"/>
    </row>
    <row r="45" spans="1:14" ht="13.5" customHeight="1">
      <c r="J45" s="32"/>
      <c r="K45" s="32"/>
      <c r="L45" s="32"/>
      <c r="M45" s="32"/>
      <c r="N45" s="32"/>
    </row>
    <row r="46" spans="1:14" ht="13.8" thickBot="1">
      <c r="A46" s="32" t="s">
        <v>12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3.8" thickBot="1">
      <c r="A47" s="33" t="s">
        <v>26</v>
      </c>
      <c r="B47" s="33" t="s">
        <v>13</v>
      </c>
      <c r="C47" s="32"/>
      <c r="D47" s="69">
        <v>28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>
      <c r="A48" s="33"/>
      <c r="B48" s="33"/>
      <c r="C48" s="32"/>
      <c r="D48" s="33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>
      <c r="A49" s="33"/>
      <c r="B49" s="33"/>
      <c r="C49" s="32"/>
      <c r="D49" s="33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>
      <c r="A50" s="33"/>
      <c r="B50" s="33"/>
      <c r="C50" s="32"/>
      <c r="D50" s="33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3.8" hidden="1" outlineLevel="1" thickBot="1">
      <c r="A51" s="33"/>
      <c r="B51" s="33"/>
      <c r="C51" s="32"/>
      <c r="D51" s="33"/>
      <c r="E51" s="32"/>
      <c r="F51" s="32"/>
      <c r="G51" s="32"/>
      <c r="H51" s="41" t="s">
        <v>56</v>
      </c>
      <c r="I51" s="42" t="s">
        <v>57</v>
      </c>
      <c r="J51" s="32"/>
      <c r="K51" s="32"/>
      <c r="L51" s="32"/>
      <c r="M51" s="32"/>
      <c r="N51" s="32"/>
    </row>
    <row r="52" spans="1:14" hidden="1" outlineLevel="1">
      <c r="A52" s="32"/>
      <c r="B52" s="32"/>
      <c r="C52" s="32"/>
      <c r="D52" s="33"/>
      <c r="E52" s="33"/>
      <c r="F52" s="32" t="s">
        <v>42</v>
      </c>
      <c r="G52" s="32"/>
      <c r="H52" s="50">
        <f>H27*$D$47/100/4.8</f>
        <v>25.157790000000009</v>
      </c>
      <c r="I52" s="51">
        <f>I27*$D$47/100/5</f>
        <v>14.490887040000004</v>
      </c>
      <c r="J52" s="32"/>
      <c r="K52" s="32"/>
      <c r="L52" s="32"/>
      <c r="M52" s="32"/>
      <c r="N52" s="32"/>
    </row>
    <row r="53" spans="1:14" hidden="1" outlineLevel="1">
      <c r="A53" s="32"/>
      <c r="B53" s="33" t="s">
        <v>54</v>
      </c>
      <c r="C53" s="33"/>
      <c r="D53" s="33"/>
      <c r="E53" s="33"/>
      <c r="F53" s="32" t="s">
        <v>43</v>
      </c>
      <c r="G53" s="32"/>
      <c r="H53" s="52">
        <f>H28*$D$47/100/4.8</f>
        <v>24.664500000000004</v>
      </c>
      <c r="I53" s="53">
        <f>I28*$D$47/100/5</f>
        <v>14.206752</v>
      </c>
      <c r="J53" s="32"/>
      <c r="K53" s="32"/>
      <c r="L53" s="32"/>
      <c r="M53" s="32"/>
      <c r="N53" s="32"/>
    </row>
    <row r="54" spans="1:14" hidden="1" outlineLevel="1">
      <c r="A54" s="32"/>
      <c r="B54" s="33" t="s">
        <v>55</v>
      </c>
      <c r="C54" s="33"/>
      <c r="D54" s="33"/>
      <c r="E54" s="33"/>
      <c r="F54" s="32" t="s">
        <v>44</v>
      </c>
      <c r="G54" s="32"/>
      <c r="H54" s="52">
        <f>H29*$D$47/100/4.8</f>
        <v>32.557140000000011</v>
      </c>
      <c r="I54" s="53">
        <f>I29*$D$47/100/5</f>
        <v>18.752912640000005</v>
      </c>
      <c r="J54" s="32"/>
      <c r="K54" s="32"/>
      <c r="L54" s="32"/>
      <c r="M54" s="32"/>
      <c r="N54" s="32"/>
    </row>
    <row r="55" spans="1:14" hidden="1" outlineLevel="1">
      <c r="A55" s="32"/>
      <c r="B55" s="33"/>
      <c r="C55" s="33"/>
      <c r="D55" s="33"/>
      <c r="E55" s="33"/>
      <c r="F55" s="32" t="s">
        <v>45</v>
      </c>
      <c r="G55" s="32"/>
      <c r="H55" s="52">
        <f>H30*$D$47/100/4.8</f>
        <v>47.355840000000015</v>
      </c>
      <c r="I55" s="53">
        <f>I30*$D$47/100/5</f>
        <v>27.276963840000008</v>
      </c>
      <c r="J55" s="32"/>
      <c r="K55" s="32"/>
      <c r="L55" s="32"/>
      <c r="M55" s="32"/>
      <c r="N55" s="32"/>
    </row>
    <row r="56" spans="1:14" hidden="1" outlineLevel="1">
      <c r="A56" s="32"/>
      <c r="B56" s="33"/>
      <c r="C56" s="33"/>
      <c r="D56" s="33"/>
      <c r="E56" s="33"/>
      <c r="F56" s="32" t="s">
        <v>46</v>
      </c>
      <c r="G56" s="32"/>
      <c r="H56" s="52">
        <f>IF($D$26="Extended Season",0,H31*$D$47/100/4)</f>
        <v>81.096876000000009</v>
      </c>
      <c r="I56" s="53">
        <f>IF($D$26="Extended Season",0,I31*$D$47/100/4)</f>
        <v>48.658125600000005</v>
      </c>
      <c r="J56" s="32"/>
      <c r="K56" s="32"/>
      <c r="L56" s="32"/>
      <c r="M56" s="32"/>
      <c r="N56" s="32"/>
    </row>
    <row r="57" spans="1:14" hidden="1" outlineLevel="1">
      <c r="A57" s="32"/>
      <c r="B57" s="33"/>
      <c r="C57" s="33"/>
      <c r="D57" s="33"/>
      <c r="E57" s="33"/>
      <c r="F57" s="32" t="s">
        <v>47</v>
      </c>
      <c r="G57" s="32"/>
      <c r="H57" s="52">
        <f t="shared" ref="H57:I59" si="1">IF($D$26="Extended Season",0,H32*$D$47/100/4)</f>
        <v>94.711680000000015</v>
      </c>
      <c r="I57" s="53">
        <f t="shared" si="1"/>
        <v>56.827008000000006</v>
      </c>
      <c r="J57" s="32"/>
      <c r="K57" s="32"/>
      <c r="L57" s="32"/>
      <c r="M57" s="32"/>
      <c r="N57" s="32"/>
    </row>
    <row r="58" spans="1:14" hidden="1" outlineLevel="1">
      <c r="A58" s="32"/>
      <c r="B58" s="33"/>
      <c r="C58" s="33"/>
      <c r="D58" s="33"/>
      <c r="E58" s="33"/>
      <c r="F58" s="32" t="s">
        <v>48</v>
      </c>
      <c r="G58" s="32"/>
      <c r="H58" s="52">
        <f t="shared" si="1"/>
        <v>101.22310800000001</v>
      </c>
      <c r="I58" s="53">
        <f t="shared" si="1"/>
        <v>60.733864799999999</v>
      </c>
      <c r="J58" s="32"/>
      <c r="K58" s="32"/>
      <c r="L58" s="32"/>
      <c r="M58" s="32"/>
      <c r="N58" s="32"/>
    </row>
    <row r="59" spans="1:14" hidden="1" outlineLevel="1">
      <c r="A59" s="32"/>
      <c r="B59" s="33"/>
      <c r="C59" s="33"/>
      <c r="D59" s="33"/>
      <c r="E59" s="33"/>
      <c r="F59" s="32" t="s">
        <v>49</v>
      </c>
      <c r="G59" s="32"/>
      <c r="H59" s="52">
        <f t="shared" si="1"/>
        <v>91.751940000000019</v>
      </c>
      <c r="I59" s="53">
        <f t="shared" si="1"/>
        <v>55.051164000000007</v>
      </c>
      <c r="J59" s="32"/>
      <c r="K59" s="32"/>
      <c r="L59" s="32"/>
      <c r="M59" s="32"/>
      <c r="N59" s="32"/>
    </row>
    <row r="60" spans="1:14" hidden="1" outlineLevel="1">
      <c r="A60" s="32"/>
      <c r="B60" s="33"/>
      <c r="C60" s="33"/>
      <c r="D60" s="33"/>
      <c r="E60" s="33"/>
      <c r="F60" s="32" t="s">
        <v>50</v>
      </c>
      <c r="G60" s="32"/>
      <c r="H60" s="52">
        <f>H35*$D$47/100/4</f>
        <v>74.585448</v>
      </c>
      <c r="I60" s="53">
        <f>I35*$D$47/100/4</f>
        <v>44.751268799999998</v>
      </c>
      <c r="J60" s="32"/>
      <c r="K60" s="32"/>
      <c r="L60" s="32"/>
      <c r="M60" s="32"/>
      <c r="N60" s="32"/>
    </row>
    <row r="61" spans="1:14" hidden="1" outlineLevel="1">
      <c r="A61" s="32"/>
      <c r="B61" s="33"/>
      <c r="C61" s="33"/>
      <c r="D61" s="33"/>
      <c r="E61" s="33"/>
      <c r="F61" s="32" t="s">
        <v>51</v>
      </c>
      <c r="G61" s="32"/>
      <c r="H61" s="52">
        <f>H36*$D$47/100/4.8</f>
        <v>46.369259999999997</v>
      </c>
      <c r="I61" s="53">
        <f>I36*$D$47/100/5</f>
        <v>26.708693759999996</v>
      </c>
      <c r="J61" s="32"/>
      <c r="K61" s="32"/>
      <c r="L61" s="32"/>
      <c r="M61" s="32"/>
      <c r="N61" s="32"/>
    </row>
    <row r="62" spans="1:14" hidden="1" outlineLevel="1">
      <c r="A62" s="32"/>
      <c r="B62" s="33"/>
      <c r="C62" s="33"/>
      <c r="D62" s="33"/>
      <c r="E62" s="33"/>
      <c r="F62" s="32" t="s">
        <v>52</v>
      </c>
      <c r="G62" s="32"/>
      <c r="H62" s="52">
        <f>H37*$D$47/100/4.8</f>
        <v>36.010170000000002</v>
      </c>
      <c r="I62" s="53">
        <f>I37*$D$47/100/5</f>
        <v>20.741857920000001</v>
      </c>
      <c r="J62" s="32"/>
      <c r="K62" s="32"/>
      <c r="L62" s="32"/>
      <c r="M62" s="32"/>
      <c r="N62" s="32"/>
    </row>
    <row r="63" spans="1:14" ht="13.8" hidden="1" outlineLevel="1" thickBot="1">
      <c r="A63" s="32"/>
      <c r="B63" s="33"/>
      <c r="C63" s="33"/>
      <c r="D63" s="33"/>
      <c r="E63" s="32"/>
      <c r="F63" s="32" t="s">
        <v>53</v>
      </c>
      <c r="G63" s="32"/>
      <c r="H63" s="54">
        <f>H38*$D$47/100/4.8</f>
        <v>29.104109999999995</v>
      </c>
      <c r="I63" s="55">
        <f>I38*$D$47/100/5</f>
        <v>16.763967359999995</v>
      </c>
      <c r="J63" s="32"/>
      <c r="K63" s="32"/>
      <c r="L63" s="32"/>
      <c r="M63" s="32"/>
      <c r="N63" s="32"/>
    </row>
    <row r="64" spans="1:14" ht="13.8" collapsed="1" thickBot="1">
      <c r="A64" s="32"/>
      <c r="B64" s="32"/>
      <c r="C64" s="32"/>
      <c r="D64" s="32"/>
      <c r="E64" s="32"/>
      <c r="F64" s="32"/>
      <c r="G64" s="32"/>
      <c r="H64" s="41" t="s">
        <v>56</v>
      </c>
      <c r="I64" s="42" t="s">
        <v>57</v>
      </c>
      <c r="J64" s="32"/>
      <c r="K64" s="32"/>
      <c r="L64" s="32"/>
      <c r="M64" s="32"/>
      <c r="N64" s="32"/>
    </row>
    <row r="65" spans="1:14">
      <c r="A65" s="32"/>
      <c r="B65" s="32"/>
      <c r="C65" s="32"/>
      <c r="D65" s="32"/>
      <c r="E65" s="33"/>
      <c r="F65" s="32" t="s">
        <v>42</v>
      </c>
      <c r="G65" s="32"/>
      <c r="H65" s="51">
        <f>(H27*0.3)/5*$D$47/100</f>
        <v>7.245443520000002</v>
      </c>
      <c r="I65" s="56">
        <f>H65*0.6</f>
        <v>4.3472661120000007</v>
      </c>
      <c r="J65" s="32"/>
      <c r="K65" s="32"/>
      <c r="L65" s="32"/>
      <c r="M65" s="32"/>
      <c r="N65" s="32"/>
    </row>
    <row r="66" spans="1:14">
      <c r="A66" s="32"/>
      <c r="B66" s="33" t="s">
        <v>14</v>
      </c>
      <c r="C66" s="33"/>
      <c r="D66" s="33"/>
      <c r="E66" s="33"/>
      <c r="F66" s="32" t="s">
        <v>43</v>
      </c>
      <c r="G66" s="32"/>
      <c r="H66" s="53">
        <f>(H28*0.3)/5*$D$47/100</f>
        <v>7.1033759999999999</v>
      </c>
      <c r="I66" s="57">
        <f t="shared" ref="I66:I76" si="2">H66*0.6</f>
        <v>4.2620255999999994</v>
      </c>
      <c r="J66" s="32"/>
      <c r="K66" s="32"/>
      <c r="L66" s="32"/>
      <c r="M66" s="32"/>
      <c r="N66" s="32"/>
    </row>
    <row r="67" spans="1:14">
      <c r="A67" s="32"/>
      <c r="B67" s="33"/>
      <c r="C67" s="33"/>
      <c r="D67" s="33"/>
      <c r="E67" s="33"/>
      <c r="F67" s="32" t="s">
        <v>44</v>
      </c>
      <c r="G67" s="32"/>
      <c r="H67" s="53">
        <f>(H29*0.3)/5*$D$47/100</f>
        <v>9.3764563200000044</v>
      </c>
      <c r="I67" s="57">
        <f t="shared" si="2"/>
        <v>5.6258737920000028</v>
      </c>
      <c r="J67" s="32"/>
      <c r="K67" s="32"/>
      <c r="L67" s="32"/>
      <c r="M67" s="32"/>
      <c r="N67" s="32"/>
    </row>
    <row r="68" spans="1:14">
      <c r="A68" s="32"/>
      <c r="B68" s="33"/>
      <c r="C68" s="33"/>
      <c r="D68" s="33"/>
      <c r="E68" s="33"/>
      <c r="F68" s="32" t="s">
        <v>45</v>
      </c>
      <c r="G68" s="32"/>
      <c r="H68" s="53">
        <f>(H30*0.3)/5*$D$47/100</f>
        <v>13.638481920000004</v>
      </c>
      <c r="I68" s="57">
        <f t="shared" si="2"/>
        <v>8.1830891520000026</v>
      </c>
      <c r="J68" s="32"/>
      <c r="K68" s="32"/>
      <c r="L68" s="32"/>
      <c r="M68" s="32"/>
      <c r="N68" s="32"/>
    </row>
    <row r="69" spans="1:14">
      <c r="A69" s="32"/>
      <c r="B69" s="33"/>
      <c r="C69" s="33"/>
      <c r="D69" s="33"/>
      <c r="E69" s="33"/>
      <c r="F69" s="32" t="s">
        <v>46</v>
      </c>
      <c r="G69" s="32"/>
      <c r="H69" s="53">
        <f>IF($D$26="Extended Season",0,(H31*0.3)/4*$D$47/100)</f>
        <v>24.329062800000003</v>
      </c>
      <c r="I69" s="57">
        <f t="shared" si="2"/>
        <v>14.597437680000001</v>
      </c>
      <c r="J69" s="32"/>
      <c r="K69" s="32"/>
      <c r="L69" s="32"/>
      <c r="M69" s="32"/>
      <c r="N69" s="32"/>
    </row>
    <row r="70" spans="1:14">
      <c r="A70" s="32"/>
      <c r="B70" s="33"/>
      <c r="C70" s="33"/>
      <c r="D70" s="33"/>
      <c r="E70" s="33"/>
      <c r="F70" s="32" t="s">
        <v>47</v>
      </c>
      <c r="G70" s="32"/>
      <c r="H70" s="53">
        <f>IF($D$26="Extended Season",0,(H32*0.3)/4*$D$47/100)</f>
        <v>28.413504000000003</v>
      </c>
      <c r="I70" s="57">
        <f t="shared" si="2"/>
        <v>17.048102400000001</v>
      </c>
      <c r="J70" s="32"/>
      <c r="K70" s="32"/>
      <c r="L70" s="32"/>
      <c r="M70" s="32"/>
      <c r="N70" s="32"/>
    </row>
    <row r="71" spans="1:14">
      <c r="A71" s="32"/>
      <c r="B71" s="33"/>
      <c r="C71" s="33"/>
      <c r="D71" s="33"/>
      <c r="E71" s="33"/>
      <c r="F71" s="32" t="s">
        <v>48</v>
      </c>
      <c r="G71" s="32"/>
      <c r="H71" s="53">
        <f>IF($D$26="Extended Season",0,(H33*0.3)/4*$D$47/100)</f>
        <v>30.3669324</v>
      </c>
      <c r="I71" s="57">
        <f t="shared" si="2"/>
        <v>18.22015944</v>
      </c>
      <c r="J71" s="32"/>
      <c r="K71" s="32"/>
      <c r="L71" s="32"/>
      <c r="M71" s="32"/>
      <c r="N71" s="32"/>
    </row>
    <row r="72" spans="1:14">
      <c r="A72" s="32"/>
      <c r="B72" s="33"/>
      <c r="C72" s="33"/>
      <c r="D72" s="33"/>
      <c r="E72" s="33"/>
      <c r="F72" s="32" t="s">
        <v>49</v>
      </c>
      <c r="G72" s="32"/>
      <c r="H72" s="53">
        <f>IF($D$26="Extended Season",0,(H34*0.3)/4*$D$47/100)</f>
        <v>27.525582000000004</v>
      </c>
      <c r="I72" s="57">
        <f t="shared" si="2"/>
        <v>16.515349200000003</v>
      </c>
      <c r="J72" s="32"/>
      <c r="K72" s="32"/>
      <c r="L72" s="32"/>
      <c r="M72" s="32"/>
      <c r="N72" s="32"/>
    </row>
    <row r="73" spans="1:14">
      <c r="A73" s="32"/>
      <c r="B73" s="33"/>
      <c r="C73" s="33"/>
      <c r="D73" s="33"/>
      <c r="E73" s="33"/>
      <c r="F73" s="32" t="s">
        <v>50</v>
      </c>
      <c r="G73" s="32"/>
      <c r="H73" s="53">
        <f>IF($D$26="Extended Season",0,(H35*0.3)/4*$D$47/100)</f>
        <v>22.375634399999999</v>
      </c>
      <c r="I73" s="57">
        <f t="shared" si="2"/>
        <v>13.425380639999998</v>
      </c>
      <c r="J73" s="32"/>
      <c r="K73" s="32"/>
      <c r="L73" s="32"/>
      <c r="M73" s="32"/>
      <c r="N73" s="32"/>
    </row>
    <row r="74" spans="1:14">
      <c r="A74" s="32"/>
      <c r="B74" s="33"/>
      <c r="C74" s="33"/>
      <c r="D74" s="33"/>
      <c r="E74" s="33"/>
      <c r="F74" s="32" t="s">
        <v>51</v>
      </c>
      <c r="G74" s="32"/>
      <c r="H74" s="53">
        <f>(H36*0.3)/5*$D$47/100</f>
        <v>13.354346879999996</v>
      </c>
      <c r="I74" s="57">
        <f t="shared" si="2"/>
        <v>8.0126081279999966</v>
      </c>
      <c r="J74" s="32"/>
      <c r="K74" s="32"/>
      <c r="L74" s="32"/>
      <c r="M74" s="32"/>
      <c r="N74" s="32"/>
    </row>
    <row r="75" spans="1:14">
      <c r="A75" s="32"/>
      <c r="B75" s="33"/>
      <c r="C75" s="33"/>
      <c r="D75" s="33"/>
      <c r="E75" s="33"/>
      <c r="F75" s="32" t="s">
        <v>52</v>
      </c>
      <c r="G75" s="32"/>
      <c r="H75" s="53">
        <f>(H37*0.3)/5*$D$47/100</f>
        <v>10.370928960000001</v>
      </c>
      <c r="I75" s="57">
        <f t="shared" si="2"/>
        <v>6.2225573760000001</v>
      </c>
      <c r="J75" s="32"/>
      <c r="K75" s="32"/>
      <c r="L75" s="32"/>
      <c r="M75" s="32"/>
      <c r="N75" s="32"/>
    </row>
    <row r="76" spans="1:14" ht="13.8" thickBot="1">
      <c r="A76" s="32"/>
      <c r="B76" s="33"/>
      <c r="C76" s="33"/>
      <c r="D76" s="33"/>
      <c r="E76" s="32"/>
      <c r="F76" s="32" t="s">
        <v>53</v>
      </c>
      <c r="G76" s="32"/>
      <c r="H76" s="55">
        <f>(H38*0.3)/5*$D$47/100</f>
        <v>8.3819836799999976</v>
      </c>
      <c r="I76" s="58">
        <f t="shared" si="2"/>
        <v>5.0291902079999984</v>
      </c>
      <c r="J76" s="32"/>
      <c r="K76" s="32"/>
      <c r="L76" s="32"/>
      <c r="M76" s="32"/>
      <c r="N76" s="32"/>
    </row>
    <row r="77" spans="1:14" ht="13.8" thickBot="1">
      <c r="A77" s="32"/>
      <c r="B77" s="32"/>
      <c r="C77" s="32"/>
      <c r="D77" s="32"/>
      <c r="E77" s="32"/>
      <c r="F77" s="32" t="s">
        <v>84</v>
      </c>
      <c r="G77" s="32"/>
      <c r="H77" s="70">
        <f>(H65*31)+(H66*28)+(H67*31)+(H74*31)+(H75*30)+(H76*31)+(H68*30)+(H70*31)+(H71*31)+(H73*30)+(H72*30)</f>
        <v>5427.5120172000006</v>
      </c>
      <c r="I77" s="70">
        <f>(I65*31)+(I66*28)+(I67*31)+(I74*31)+(I75*30)+(I76*31)+(I68*30)+(I70*31)+(I71*31)+(I73*30)+(I72*30)</f>
        <v>3256.50721032</v>
      </c>
      <c r="J77" s="32"/>
      <c r="K77" s="32"/>
      <c r="L77" s="32"/>
      <c r="M77" s="32"/>
      <c r="N77" s="32"/>
    </row>
    <row r="78" spans="1:14" ht="13.8" thickBo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3.8" thickBot="1">
      <c r="A79" s="32" t="s">
        <v>30</v>
      </c>
      <c r="B79" s="33" t="s">
        <v>33</v>
      </c>
      <c r="C79" s="32"/>
      <c r="D79" s="32"/>
      <c r="E79" s="32"/>
      <c r="F79" s="32"/>
      <c r="G79" s="32"/>
      <c r="H79" s="59">
        <f>1/(((($D$16*$D$18*$D$20)*1.16)/SUMIF('Model selection'!$F$6:$F$18,$F$41,'Model selection'!$B$6:$B$18))*1.3)</f>
        <v>0.46300844512849615</v>
      </c>
      <c r="I79" s="60" t="s">
        <v>22</v>
      </c>
      <c r="J79" s="32"/>
      <c r="K79" s="32"/>
      <c r="L79" s="32"/>
      <c r="M79" s="32"/>
      <c r="N79" s="32"/>
    </row>
    <row r="80" spans="1:14" ht="13.8" thickBot="1">
      <c r="A80" s="32"/>
      <c r="B80" s="33" t="s">
        <v>34</v>
      </c>
      <c r="C80" s="32"/>
      <c r="D80" s="32"/>
      <c r="E80" s="32"/>
      <c r="F80" s="32"/>
      <c r="G80" s="32"/>
      <c r="H80" s="59">
        <f>1/(((($D$16*$D$18*$D$20)*1.16)/SUMIF('Model selection'!$F$6:$F$18,$F$41,'Model selection'!$C$6:$C$18))*1.3)</f>
        <v>0.46300844512849615</v>
      </c>
      <c r="I80" s="60" t="str">
        <f>I79</f>
        <v>degrees</v>
      </c>
      <c r="J80" s="32"/>
      <c r="K80" s="32"/>
      <c r="L80" s="32"/>
      <c r="M80" s="32"/>
      <c r="N80" s="32"/>
    </row>
    <row r="81" spans="1:1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>
      <c r="A159" s="61" t="s">
        <v>28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>
      <c r="A160" s="61" t="s">
        <v>30</v>
      </c>
      <c r="B160" s="61" t="s">
        <v>63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>
      <c r="A161" s="61"/>
      <c r="B161" s="61" t="s">
        <v>31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>
      <c r="A162" s="61"/>
      <c r="B162" s="61" t="s">
        <v>32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>
      <c r="A163" s="62" t="s">
        <v>23</v>
      </c>
      <c r="B163" s="61" t="s">
        <v>29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>
      <c r="A164" s="62" t="s">
        <v>25</v>
      </c>
      <c r="B164" s="61" t="s">
        <v>79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>
      <c r="A165" s="62" t="s">
        <v>27</v>
      </c>
      <c r="B165" s="61" t="s">
        <v>80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>
      <c r="A166" s="62" t="s">
        <v>26</v>
      </c>
      <c r="B166" s="61" t="s">
        <v>81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>
      <c r="A167" s="62"/>
      <c r="B167" s="6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>
      <c r="A168" s="61" t="s">
        <v>83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>
      <c r="A169" s="61" t="s">
        <v>100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>
      <c r="A170" s="61" t="s">
        <v>82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>
      <c r="A171" s="61" t="s">
        <v>39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>
      <c r="A172" s="61" t="s">
        <v>40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>
      <c r="A173" s="61" t="s">
        <v>41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>
      <c r="A174" s="61"/>
    </row>
    <row r="175" spans="1:14">
      <c r="H175" s="103" t="s">
        <v>60</v>
      </c>
      <c r="I175" s="103"/>
    </row>
  </sheetData>
  <sheetProtection selectLockedCells="1"/>
  <mergeCells count="3">
    <mergeCell ref="H175:I175"/>
    <mergeCell ref="F41:I41"/>
    <mergeCell ref="F42:I42"/>
  </mergeCells>
  <phoneticPr fontId="2" type="noConversion"/>
  <dataValidations xWindow="638" yWindow="627" count="5">
    <dataValidation allowBlank="1" showInputMessage="1" showErrorMessage="1" prompt="In general, 26 to 28 degree C is considered a comfortable swimming temperature" sqref="D25"/>
    <dataValidation type="list" allowBlank="1" showInputMessage="1" showErrorMessage="1" sqref="D26">
      <formula1>"Solar Alternative, Extended Season, All Year Round"</formula1>
    </dataValidation>
    <dataValidation type="list" allowBlank="1" showInputMessage="1" showErrorMessage="1" sqref="D8">
      <formula1>"Sydney, Adelaide, Brisbane, Melbourne, Perth, Townsville, Tasmania"</formula1>
    </dataValidation>
    <dataValidation type="list" allowBlank="1" showInputMessage="1" showErrorMessage="1" prompt="Most commonly desired swimming temperature is between 26-28 degrees" sqref="D24">
      <formula1>"22, 24,26,28,30"</formula1>
    </dataValidation>
    <dataValidation type="whole" allowBlank="1" showErrorMessage="1" prompt="Average cost per kW hour as " sqref="D47">
      <formula1>22</formula1>
      <formula2>50</formula2>
    </dataValidation>
  </dataValidations>
  <pageMargins left="0.55000000000000004" right="0.55000000000000004" top="1.2" bottom="1" header="0.5" footer="0.5"/>
  <pageSetup paperSize="9" scale="75" orientation="portrait" horizontalDpi="300" verticalDpi="300" r:id="rId1"/>
  <headerFooter alignWithMargins="0"/>
  <rowBreaks count="2" manualBreakCount="2">
    <brk id="47" max="15" man="1"/>
    <brk id="11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opLeftCell="A4" zoomScale="110" zoomScaleNormal="110" workbookViewId="0">
      <pane xSplit="1" topLeftCell="B1" activePane="topRight" state="frozen"/>
      <selection pane="topRight" activeCell="H40" sqref="H40"/>
    </sheetView>
  </sheetViews>
  <sheetFormatPr defaultColWidth="8.6640625" defaultRowHeight="13.2"/>
  <cols>
    <col min="1" max="1" width="32.109375" customWidth="1"/>
  </cols>
  <sheetData>
    <row r="2" spans="1:14">
      <c r="A2" s="26" t="s">
        <v>59</v>
      </c>
      <c r="B2" s="18">
        <f>Calculation!$D$24</f>
        <v>28</v>
      </c>
      <c r="C2" s="18">
        <f>Calculation!$D$24</f>
        <v>28</v>
      </c>
      <c r="D2" s="18">
        <f>Calculation!$D$24</f>
        <v>28</v>
      </c>
      <c r="E2" s="18">
        <f>Calculation!$D$24</f>
        <v>28</v>
      </c>
      <c r="F2" s="18">
        <f>Calculation!$D$24</f>
        <v>28</v>
      </c>
      <c r="G2" s="18">
        <f>Calculation!$D$24</f>
        <v>28</v>
      </c>
      <c r="H2" s="18">
        <f>Calculation!$D$24</f>
        <v>28</v>
      </c>
      <c r="I2" s="18">
        <f>Calculation!$D$24</f>
        <v>28</v>
      </c>
      <c r="J2" s="18">
        <f>Calculation!$D$24</f>
        <v>28</v>
      </c>
      <c r="K2" s="18">
        <f>Calculation!$D$24</f>
        <v>28</v>
      </c>
      <c r="L2" s="18">
        <f>Calculation!$D$24</f>
        <v>28</v>
      </c>
      <c r="M2" s="18">
        <f>Calculation!$D$24</f>
        <v>28</v>
      </c>
    </row>
    <row r="3" spans="1:14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 s="107" t="s">
        <v>71</v>
      </c>
    </row>
    <row r="4" spans="1:14" ht="13.8" thickBot="1">
      <c r="A4" s="3" t="s">
        <v>21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108"/>
    </row>
    <row r="5" spans="1:14" ht="15" thickTop="1" thickBot="1">
      <c r="A5" s="1" t="s">
        <v>3</v>
      </c>
      <c r="B5" s="4">
        <v>23.1</v>
      </c>
      <c r="C5" s="4">
        <v>22.6</v>
      </c>
      <c r="D5" s="4">
        <v>20.399999999999999</v>
      </c>
      <c r="E5" s="4">
        <v>17.600000000000001</v>
      </c>
      <c r="F5" s="4">
        <v>13.7</v>
      </c>
      <c r="G5" s="4">
        <v>11.4</v>
      </c>
      <c r="H5" s="4">
        <v>10.4</v>
      </c>
      <c r="I5" s="4">
        <v>11.3</v>
      </c>
      <c r="J5" s="4">
        <v>13.8</v>
      </c>
      <c r="K5" s="4">
        <v>16.8</v>
      </c>
      <c r="L5" s="4">
        <v>19.100000000000001</v>
      </c>
      <c r="M5" s="24">
        <v>20.8</v>
      </c>
      <c r="N5" s="27">
        <f>IF(Calculation!$D$8=Temperatures!A5, 1, 0)</f>
        <v>0</v>
      </c>
    </row>
    <row r="6" spans="1:14" ht="14.4" thickBot="1">
      <c r="A6" s="1" t="s">
        <v>4</v>
      </c>
      <c r="B6" s="7">
        <v>25.6</v>
      </c>
      <c r="C6" s="7">
        <v>25.3</v>
      </c>
      <c r="D6" s="7">
        <v>23.8</v>
      </c>
      <c r="E6" s="7">
        <v>21.5</v>
      </c>
      <c r="F6" s="7">
        <v>17.600000000000001</v>
      </c>
      <c r="G6" s="7">
        <v>14.8</v>
      </c>
      <c r="H6" s="7">
        <v>13.5</v>
      </c>
      <c r="I6" s="7">
        <v>15.4</v>
      </c>
      <c r="J6" s="7">
        <v>18.8</v>
      </c>
      <c r="K6" s="7">
        <v>21.9</v>
      </c>
      <c r="L6" s="7">
        <v>23.9</v>
      </c>
      <c r="M6" s="25">
        <v>25.1</v>
      </c>
      <c r="N6" s="27">
        <f>IF(Calculation!$D$8=Temperatures!A6, 1, 0)</f>
        <v>0</v>
      </c>
    </row>
    <row r="7" spans="1:14" ht="14.4" thickBot="1">
      <c r="A7" s="1" t="s">
        <v>2</v>
      </c>
      <c r="B7" s="7">
        <v>20.100000000000001</v>
      </c>
      <c r="C7" s="7">
        <v>19.8</v>
      </c>
      <c r="D7" s="7">
        <v>17.600000000000001</v>
      </c>
      <c r="E7" s="7">
        <v>14.6</v>
      </c>
      <c r="F7" s="7">
        <v>11.2</v>
      </c>
      <c r="G7" s="7">
        <v>9</v>
      </c>
      <c r="H7" s="7">
        <v>8.1999999999999993</v>
      </c>
      <c r="I7" s="7">
        <v>9.5</v>
      </c>
      <c r="J7" s="7">
        <v>11.9</v>
      </c>
      <c r="K7" s="7">
        <v>14.6</v>
      </c>
      <c r="L7" s="7">
        <v>16.5</v>
      </c>
      <c r="M7" s="25">
        <v>18.5</v>
      </c>
      <c r="N7" s="27">
        <f>IF(Calculation!$D$8=Temperatures!A7, 1, 0)</f>
        <v>0</v>
      </c>
    </row>
    <row r="8" spans="1:14" ht="14.4" thickBot="1">
      <c r="A8" s="1" t="s">
        <v>5</v>
      </c>
      <c r="B8" s="7">
        <v>23.9</v>
      </c>
      <c r="C8" s="7">
        <v>23.4</v>
      </c>
      <c r="D8" s="7">
        <v>21.2</v>
      </c>
      <c r="E8" s="7">
        <v>17.899999999999999</v>
      </c>
      <c r="F8" s="7">
        <v>15.2</v>
      </c>
      <c r="G8" s="7">
        <v>13.3</v>
      </c>
      <c r="H8" s="7">
        <v>11.9</v>
      </c>
      <c r="I8" s="7">
        <v>12.6</v>
      </c>
      <c r="J8" s="7">
        <v>14.5</v>
      </c>
      <c r="K8" s="7">
        <v>17.3</v>
      </c>
      <c r="L8" s="7">
        <v>20</v>
      </c>
      <c r="M8" s="25">
        <v>22.7</v>
      </c>
      <c r="N8" s="27">
        <f>IF(Calculation!$D$8=Temperatures!A8, 1, 0)</f>
        <v>0</v>
      </c>
    </row>
    <row r="9" spans="1:14" ht="14.4" thickBot="1">
      <c r="A9" s="1" t="s">
        <v>6</v>
      </c>
      <c r="B9" s="7">
        <v>22.9</v>
      </c>
      <c r="C9" s="7">
        <v>23</v>
      </c>
      <c r="D9" s="7">
        <v>21.4</v>
      </c>
      <c r="E9" s="7">
        <v>18.399999999999999</v>
      </c>
      <c r="F9" s="7">
        <v>14.3</v>
      </c>
      <c r="G9" s="7">
        <v>12</v>
      </c>
      <c r="H9" s="7">
        <v>10.9</v>
      </c>
      <c r="I9" s="7">
        <v>12.5</v>
      </c>
      <c r="J9" s="7">
        <v>15.4</v>
      </c>
      <c r="K9" s="7">
        <v>18.600000000000001</v>
      </c>
      <c r="L9" s="7">
        <v>20.7</v>
      </c>
      <c r="M9" s="25">
        <v>22.1</v>
      </c>
      <c r="N9" s="27">
        <f>IF(Calculation!$D$8=Temperatures!A9, 1, 0)</f>
        <v>1</v>
      </c>
    </row>
    <row r="10" spans="1:14" ht="14.4" thickBot="1">
      <c r="A10" s="20" t="s">
        <v>61</v>
      </c>
      <c r="B10" s="7">
        <f>B6</f>
        <v>25.6</v>
      </c>
      <c r="C10" s="7">
        <f>C6</f>
        <v>25.3</v>
      </c>
      <c r="D10" s="7">
        <f>D6</f>
        <v>23.8</v>
      </c>
      <c r="E10" s="7">
        <f>E6+2</f>
        <v>23.5</v>
      </c>
      <c r="F10" s="7">
        <f t="shared" ref="F10:K10" si="0">F6+3</f>
        <v>20.6</v>
      </c>
      <c r="G10" s="7">
        <f t="shared" si="0"/>
        <v>17.8</v>
      </c>
      <c r="H10" s="7">
        <f t="shared" si="0"/>
        <v>16.5</v>
      </c>
      <c r="I10" s="7">
        <f t="shared" si="0"/>
        <v>18.399999999999999</v>
      </c>
      <c r="J10" s="7">
        <f t="shared" si="0"/>
        <v>21.8</v>
      </c>
      <c r="K10" s="7">
        <f t="shared" si="0"/>
        <v>24.9</v>
      </c>
      <c r="L10" s="7">
        <f>L6+2</f>
        <v>25.9</v>
      </c>
      <c r="M10" s="25">
        <f>M6+2</f>
        <v>27.1</v>
      </c>
      <c r="N10" s="27">
        <f>IF(Calculation!$D$8=Temperatures!A10, 1, 0)</f>
        <v>0</v>
      </c>
    </row>
    <row r="11" spans="1:14" ht="14.4" thickBot="1">
      <c r="A11" s="20" t="s">
        <v>105</v>
      </c>
      <c r="B11" s="7">
        <v>18</v>
      </c>
      <c r="C11" s="7">
        <v>18</v>
      </c>
      <c r="D11" s="7">
        <v>16</v>
      </c>
      <c r="E11" s="7">
        <v>14</v>
      </c>
      <c r="F11" s="7">
        <v>11</v>
      </c>
      <c r="G11" s="7">
        <v>9</v>
      </c>
      <c r="H11" s="7">
        <v>8</v>
      </c>
      <c r="I11" s="7">
        <v>10</v>
      </c>
      <c r="J11" s="7">
        <v>11</v>
      </c>
      <c r="K11" s="7">
        <v>13</v>
      </c>
      <c r="L11" s="7">
        <v>15</v>
      </c>
      <c r="M11" s="25">
        <v>17</v>
      </c>
      <c r="N11" s="28">
        <f>IF(Calculation!$D$8=Temperatures!A11, 1, 0)</f>
        <v>0</v>
      </c>
    </row>
    <row r="12" spans="1:14">
      <c r="A12" s="22" t="s">
        <v>70</v>
      </c>
      <c r="B12" s="15">
        <f>VLOOKUP(Calculation!$D$8,Temperatures!$A$5:B$11,2,FALSE)</f>
        <v>22.9</v>
      </c>
      <c r="C12" s="15">
        <f>VLOOKUP(Calculation!$D$8,Temperatures!$A$5:C$11,3,FALSE)</f>
        <v>23</v>
      </c>
      <c r="D12" s="15">
        <f>VLOOKUP(Calculation!$D$8,Temperatures!$A$5:D$11,4,FALSE)</f>
        <v>21.4</v>
      </c>
      <c r="E12" s="15">
        <f>VLOOKUP(Calculation!$D$8,Temperatures!$A$5:E$11,5,FALSE)</f>
        <v>18.399999999999999</v>
      </c>
      <c r="F12" s="15">
        <f>VLOOKUP(Calculation!$D$8,Temperatures!$A$5:F$11,6,FALSE)</f>
        <v>14.3</v>
      </c>
      <c r="G12" s="15">
        <f>VLOOKUP(Calculation!$D$8,Temperatures!$A$5:G$11,7,FALSE)</f>
        <v>12</v>
      </c>
      <c r="H12" s="15">
        <f>VLOOKUP(Calculation!$D$8,Temperatures!$A$5:H$11,8,FALSE)</f>
        <v>10.9</v>
      </c>
      <c r="I12" s="15">
        <f>VLOOKUP(Calculation!$D$8,Temperatures!$A$5:I$11,9,FALSE)</f>
        <v>12.5</v>
      </c>
      <c r="J12" s="15">
        <f>VLOOKUP(Calculation!$D$8,Temperatures!$A$5:J$11,10,FALSE)</f>
        <v>15.4</v>
      </c>
      <c r="K12" s="15">
        <f>VLOOKUP(Calculation!$D$8,Temperatures!$A$5:K$11,11,FALSE)</f>
        <v>18.600000000000001</v>
      </c>
      <c r="L12" s="15">
        <f>VLOOKUP(Calculation!$D$8,Temperatures!$A$5:L$11,12,FALSE)</f>
        <v>20.7</v>
      </c>
      <c r="M12" s="15">
        <f>VLOOKUP(Calculation!$D$8,Temperatures!$A$5:M$11,13,FALSE)</f>
        <v>22.1</v>
      </c>
    </row>
    <row r="13" spans="1:14">
      <c r="A13" s="1" t="str">
        <f>A16</f>
        <v>Desired temp less City Avg Temp</v>
      </c>
      <c r="B13" s="1">
        <f t="shared" ref="B13:M13" si="1">IF(B2-B12&lt;0,0,B2-B12)</f>
        <v>5.1000000000000014</v>
      </c>
      <c r="C13" s="1">
        <f t="shared" si="1"/>
        <v>5</v>
      </c>
      <c r="D13" s="1">
        <f t="shared" si="1"/>
        <v>6.6000000000000014</v>
      </c>
      <c r="E13" s="1">
        <f t="shared" si="1"/>
        <v>9.6000000000000014</v>
      </c>
      <c r="F13" s="1">
        <f t="shared" si="1"/>
        <v>13.7</v>
      </c>
      <c r="G13" s="1">
        <f t="shared" si="1"/>
        <v>16</v>
      </c>
      <c r="H13" s="1">
        <f t="shared" si="1"/>
        <v>17.100000000000001</v>
      </c>
      <c r="I13" s="1">
        <f t="shared" si="1"/>
        <v>15.5</v>
      </c>
      <c r="J13" s="1">
        <f t="shared" si="1"/>
        <v>12.6</v>
      </c>
      <c r="K13" s="1">
        <f t="shared" si="1"/>
        <v>9.3999999999999986</v>
      </c>
      <c r="L13" s="1">
        <f t="shared" si="1"/>
        <v>7.3000000000000007</v>
      </c>
      <c r="M13" s="1">
        <f t="shared" si="1"/>
        <v>5.8999999999999986</v>
      </c>
    </row>
    <row r="15" spans="1:14">
      <c r="A15" s="65" t="s">
        <v>75</v>
      </c>
    </row>
    <row r="16" spans="1:14">
      <c r="A16" s="20" t="s">
        <v>69</v>
      </c>
      <c r="B16" s="1">
        <f>B2-B5</f>
        <v>4.8999999999999986</v>
      </c>
      <c r="C16" s="1">
        <f>C2-C5</f>
        <v>5.3999999999999986</v>
      </c>
      <c r="D16" s="1">
        <f>D2-D5</f>
        <v>7.6000000000000014</v>
      </c>
      <c r="E16" s="1">
        <f>E2-E5</f>
        <v>10.399999999999999</v>
      </c>
      <c r="F16" s="1">
        <f>F2-F5</f>
        <v>14.3</v>
      </c>
      <c r="G16" s="1">
        <f>G2-G10</f>
        <v>10.199999999999999</v>
      </c>
      <c r="H16" s="1">
        <f t="shared" ref="H16:M16" si="2">H2-H5</f>
        <v>17.600000000000001</v>
      </c>
      <c r="I16" s="1">
        <f t="shared" si="2"/>
        <v>16.7</v>
      </c>
      <c r="J16" s="1">
        <f t="shared" si="2"/>
        <v>14.2</v>
      </c>
      <c r="K16" s="1">
        <f t="shared" si="2"/>
        <v>11.2</v>
      </c>
      <c r="L16" s="1">
        <f t="shared" si="2"/>
        <v>8.8999999999999986</v>
      </c>
      <c r="M16" s="1">
        <f t="shared" si="2"/>
        <v>7.1999999999999993</v>
      </c>
    </row>
    <row r="17" spans="1:16">
      <c r="A17" s="2"/>
      <c r="B17" s="2">
        <f t="shared" ref="B17:M17" si="3">B16-10</f>
        <v>-5.1000000000000014</v>
      </c>
      <c r="C17" s="2">
        <f t="shared" si="3"/>
        <v>-4.6000000000000014</v>
      </c>
      <c r="D17" s="2">
        <f t="shared" si="3"/>
        <v>-2.3999999999999986</v>
      </c>
      <c r="E17" s="2">
        <f t="shared" si="3"/>
        <v>0.39999999999999858</v>
      </c>
      <c r="F17" s="2">
        <f t="shared" si="3"/>
        <v>4.3000000000000007</v>
      </c>
      <c r="G17" s="2">
        <f t="shared" si="3"/>
        <v>0.19999999999999929</v>
      </c>
      <c r="H17" s="2">
        <f t="shared" si="3"/>
        <v>7.6000000000000014</v>
      </c>
      <c r="I17" s="2">
        <f t="shared" si="3"/>
        <v>6.6999999999999993</v>
      </c>
      <c r="J17" s="2">
        <f t="shared" si="3"/>
        <v>4.1999999999999993</v>
      </c>
      <c r="K17" s="2">
        <f t="shared" si="3"/>
        <v>1.1999999999999993</v>
      </c>
      <c r="L17" s="2">
        <f t="shared" si="3"/>
        <v>-1.1000000000000014</v>
      </c>
      <c r="M17" s="2">
        <f t="shared" si="3"/>
        <v>-2.8000000000000007</v>
      </c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6">
      <c r="A19" s="23" t="s">
        <v>73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6">
      <c r="A20" s="8" t="s">
        <v>3</v>
      </c>
      <c r="B20" s="9">
        <f t="shared" ref="B20:E26" si="4">IF(B5&gt;B$2,B5,B$2)</f>
        <v>28</v>
      </c>
      <c r="C20" s="9">
        <f t="shared" si="4"/>
        <v>28</v>
      </c>
      <c r="D20" s="9">
        <f t="shared" si="4"/>
        <v>28</v>
      </c>
      <c r="E20" s="9">
        <f t="shared" si="4"/>
        <v>28</v>
      </c>
      <c r="F20" s="9">
        <f t="shared" ref="F20:I24" si="5">F5</f>
        <v>13.7</v>
      </c>
      <c r="G20" s="9">
        <f t="shared" si="5"/>
        <v>11.4</v>
      </c>
      <c r="H20" s="9">
        <f t="shared" si="5"/>
        <v>10.4</v>
      </c>
      <c r="I20" s="9">
        <f t="shared" si="5"/>
        <v>11.3</v>
      </c>
      <c r="J20" s="9">
        <f t="shared" ref="J20:M23" si="6">IF(J5&gt;J$2,J5,J$2)</f>
        <v>28</v>
      </c>
      <c r="K20" s="9">
        <f t="shared" si="6"/>
        <v>28</v>
      </c>
      <c r="L20" s="9">
        <f t="shared" si="6"/>
        <v>28</v>
      </c>
      <c r="M20" s="10">
        <f t="shared" si="6"/>
        <v>28</v>
      </c>
    </row>
    <row r="21" spans="1:16">
      <c r="A21" s="11" t="s">
        <v>4</v>
      </c>
      <c r="B21" s="12">
        <f t="shared" si="4"/>
        <v>28</v>
      </c>
      <c r="C21" s="12">
        <f t="shared" si="4"/>
        <v>28</v>
      </c>
      <c r="D21" s="12">
        <f t="shared" si="4"/>
        <v>28</v>
      </c>
      <c r="E21" s="12">
        <f t="shared" si="4"/>
        <v>28</v>
      </c>
      <c r="F21" s="12">
        <f t="shared" si="5"/>
        <v>17.600000000000001</v>
      </c>
      <c r="G21" s="12">
        <f t="shared" si="5"/>
        <v>14.8</v>
      </c>
      <c r="H21" s="12">
        <f t="shared" si="5"/>
        <v>13.5</v>
      </c>
      <c r="I21" s="12">
        <f t="shared" si="5"/>
        <v>15.4</v>
      </c>
      <c r="J21" s="12">
        <f t="shared" si="6"/>
        <v>28</v>
      </c>
      <c r="K21" s="12">
        <f t="shared" si="6"/>
        <v>28</v>
      </c>
      <c r="L21" s="12">
        <f t="shared" si="6"/>
        <v>28</v>
      </c>
      <c r="M21" s="13">
        <f t="shared" si="6"/>
        <v>28</v>
      </c>
    </row>
    <row r="22" spans="1:16">
      <c r="A22" s="11" t="s">
        <v>2</v>
      </c>
      <c r="B22" s="12">
        <f t="shared" si="4"/>
        <v>28</v>
      </c>
      <c r="C22" s="12">
        <f t="shared" si="4"/>
        <v>28</v>
      </c>
      <c r="D22" s="12">
        <f t="shared" si="4"/>
        <v>28</v>
      </c>
      <c r="E22" s="12">
        <f t="shared" si="4"/>
        <v>28</v>
      </c>
      <c r="F22" s="12">
        <f t="shared" si="5"/>
        <v>11.2</v>
      </c>
      <c r="G22" s="12">
        <f t="shared" si="5"/>
        <v>9</v>
      </c>
      <c r="H22" s="12">
        <f t="shared" si="5"/>
        <v>8.1999999999999993</v>
      </c>
      <c r="I22" s="12">
        <f t="shared" si="5"/>
        <v>9.5</v>
      </c>
      <c r="J22" s="12">
        <f t="shared" si="6"/>
        <v>28</v>
      </c>
      <c r="K22" s="12">
        <f t="shared" si="6"/>
        <v>28</v>
      </c>
      <c r="L22" s="12">
        <f t="shared" si="6"/>
        <v>28</v>
      </c>
      <c r="M22" s="13">
        <f t="shared" si="6"/>
        <v>28</v>
      </c>
    </row>
    <row r="23" spans="1:16">
      <c r="A23" s="11" t="s">
        <v>5</v>
      </c>
      <c r="B23" s="12">
        <f t="shared" si="4"/>
        <v>28</v>
      </c>
      <c r="C23" s="12">
        <f t="shared" si="4"/>
        <v>28</v>
      </c>
      <c r="D23" s="12">
        <f t="shared" si="4"/>
        <v>28</v>
      </c>
      <c r="E23" s="12">
        <f t="shared" si="4"/>
        <v>28</v>
      </c>
      <c r="F23" s="12">
        <f t="shared" si="5"/>
        <v>15.2</v>
      </c>
      <c r="G23" s="12">
        <f t="shared" si="5"/>
        <v>13.3</v>
      </c>
      <c r="H23" s="12">
        <f t="shared" si="5"/>
        <v>11.9</v>
      </c>
      <c r="I23" s="12">
        <f t="shared" si="5"/>
        <v>12.6</v>
      </c>
      <c r="J23" s="12">
        <f t="shared" si="6"/>
        <v>28</v>
      </c>
      <c r="K23" s="12">
        <f t="shared" si="6"/>
        <v>28</v>
      </c>
      <c r="L23" s="12">
        <f t="shared" si="6"/>
        <v>28</v>
      </c>
      <c r="M23" s="13">
        <f t="shared" si="6"/>
        <v>28</v>
      </c>
    </row>
    <row r="24" spans="1:16">
      <c r="A24" s="11" t="s">
        <v>6</v>
      </c>
      <c r="B24" s="12">
        <f t="shared" si="4"/>
        <v>28</v>
      </c>
      <c r="C24" s="12">
        <f t="shared" si="4"/>
        <v>28</v>
      </c>
      <c r="D24" s="12">
        <f t="shared" si="4"/>
        <v>28</v>
      </c>
      <c r="E24" s="12">
        <f t="shared" si="4"/>
        <v>28</v>
      </c>
      <c r="F24" s="12">
        <f t="shared" si="5"/>
        <v>14.3</v>
      </c>
      <c r="G24" s="12">
        <f t="shared" si="5"/>
        <v>12</v>
      </c>
      <c r="H24" s="12">
        <f t="shared" si="5"/>
        <v>10.9</v>
      </c>
      <c r="I24" s="12">
        <f t="shared" si="5"/>
        <v>12.5</v>
      </c>
      <c r="J24" s="12">
        <f t="shared" ref="J24:M26" si="7">IF(J9&gt;J$2,J9,J$2)</f>
        <v>28</v>
      </c>
      <c r="K24" s="12">
        <f t="shared" si="7"/>
        <v>28</v>
      </c>
      <c r="L24" s="12">
        <f t="shared" si="7"/>
        <v>28</v>
      </c>
      <c r="M24" s="13">
        <f t="shared" si="7"/>
        <v>28</v>
      </c>
    </row>
    <row r="25" spans="1:16" ht="13.5" customHeight="1">
      <c r="A25" s="98" t="s">
        <v>61</v>
      </c>
      <c r="B25" s="99">
        <f t="shared" si="4"/>
        <v>28</v>
      </c>
      <c r="C25" s="99">
        <f t="shared" si="4"/>
        <v>28</v>
      </c>
      <c r="D25" s="99">
        <f t="shared" si="4"/>
        <v>28</v>
      </c>
      <c r="E25" s="99">
        <f t="shared" si="4"/>
        <v>28</v>
      </c>
      <c r="F25" s="12">
        <f t="shared" ref="F25:I26" si="8">F10</f>
        <v>20.6</v>
      </c>
      <c r="G25" s="12">
        <f t="shared" si="8"/>
        <v>17.8</v>
      </c>
      <c r="H25" s="12">
        <f t="shared" si="8"/>
        <v>16.5</v>
      </c>
      <c r="I25" s="12">
        <f t="shared" si="8"/>
        <v>18.399999999999999</v>
      </c>
      <c r="J25" s="99">
        <f t="shared" si="7"/>
        <v>28</v>
      </c>
      <c r="K25" s="99">
        <f t="shared" si="7"/>
        <v>28</v>
      </c>
      <c r="L25" s="99">
        <f t="shared" si="7"/>
        <v>28</v>
      </c>
      <c r="M25" s="99">
        <f t="shared" si="7"/>
        <v>28</v>
      </c>
    </row>
    <row r="26" spans="1:16" ht="13.5" customHeight="1">
      <c r="A26" s="19" t="s">
        <v>105</v>
      </c>
      <c r="B26" s="29">
        <f t="shared" si="4"/>
        <v>28</v>
      </c>
      <c r="C26" s="29">
        <f t="shared" si="4"/>
        <v>28</v>
      </c>
      <c r="D26" s="29">
        <f t="shared" si="4"/>
        <v>28</v>
      </c>
      <c r="E26" s="29">
        <f t="shared" si="4"/>
        <v>28</v>
      </c>
      <c r="F26" s="14">
        <f t="shared" si="8"/>
        <v>11</v>
      </c>
      <c r="G26" s="14">
        <f t="shared" si="8"/>
        <v>9</v>
      </c>
      <c r="H26" s="14">
        <f t="shared" si="8"/>
        <v>8</v>
      </c>
      <c r="I26" s="14">
        <f t="shared" si="8"/>
        <v>10</v>
      </c>
      <c r="J26" s="29">
        <f t="shared" si="7"/>
        <v>28</v>
      </c>
      <c r="K26" s="29">
        <f t="shared" si="7"/>
        <v>28</v>
      </c>
      <c r="L26" s="29">
        <f t="shared" si="7"/>
        <v>28</v>
      </c>
      <c r="M26" s="30">
        <f t="shared" si="7"/>
        <v>28</v>
      </c>
    </row>
    <row r="27" spans="1:16" s="2" customFormat="1">
      <c r="A27" s="23" t="s">
        <v>74</v>
      </c>
      <c r="N27"/>
      <c r="O27"/>
      <c r="P27"/>
    </row>
    <row r="28" spans="1:16" s="2" customFormat="1" ht="11.25" customHeight="1">
      <c r="A28" s="1" t="s">
        <v>3</v>
      </c>
      <c r="B28" s="1">
        <f>IF(B5&gt;B$2,B5,B$2)</f>
        <v>28</v>
      </c>
      <c r="C28" s="1">
        <f t="shared" ref="C28:M28" si="9">IF(C5&gt;C$2,C5,C$2)</f>
        <v>28</v>
      </c>
      <c r="D28" s="1">
        <f t="shared" si="9"/>
        <v>28</v>
      </c>
      <c r="E28" s="1">
        <f t="shared" si="9"/>
        <v>28</v>
      </c>
      <c r="F28" s="1">
        <f t="shared" si="9"/>
        <v>28</v>
      </c>
      <c r="G28" s="1">
        <f t="shared" si="9"/>
        <v>28</v>
      </c>
      <c r="H28" s="1">
        <f t="shared" si="9"/>
        <v>28</v>
      </c>
      <c r="I28" s="1">
        <f t="shared" si="9"/>
        <v>28</v>
      </c>
      <c r="J28" s="1">
        <f t="shared" si="9"/>
        <v>28</v>
      </c>
      <c r="K28" s="1">
        <f t="shared" si="9"/>
        <v>28</v>
      </c>
      <c r="L28" s="1">
        <f t="shared" si="9"/>
        <v>28</v>
      </c>
      <c r="M28" s="1">
        <f t="shared" si="9"/>
        <v>28</v>
      </c>
    </row>
    <row r="29" spans="1:16" s="2" customFormat="1" ht="11.25" customHeight="1">
      <c r="A29" s="1" t="s">
        <v>4</v>
      </c>
      <c r="B29" s="1">
        <f t="shared" ref="B29:M34" si="10">IF(B6&gt;B$2,B6,B$2)</f>
        <v>28</v>
      </c>
      <c r="C29" s="1">
        <f t="shared" si="10"/>
        <v>28</v>
      </c>
      <c r="D29" s="1">
        <f t="shared" si="10"/>
        <v>28</v>
      </c>
      <c r="E29" s="1">
        <f t="shared" si="10"/>
        <v>28</v>
      </c>
      <c r="F29" s="1">
        <f t="shared" si="10"/>
        <v>28</v>
      </c>
      <c r="G29" s="1">
        <f t="shared" si="10"/>
        <v>28</v>
      </c>
      <c r="H29" s="1">
        <f t="shared" si="10"/>
        <v>28</v>
      </c>
      <c r="I29" s="1">
        <f t="shared" si="10"/>
        <v>28</v>
      </c>
      <c r="J29" s="1">
        <f t="shared" si="10"/>
        <v>28</v>
      </c>
      <c r="K29" s="1">
        <f t="shared" si="10"/>
        <v>28</v>
      </c>
      <c r="L29" s="1">
        <f t="shared" si="10"/>
        <v>28</v>
      </c>
      <c r="M29" s="1">
        <f t="shared" si="10"/>
        <v>28</v>
      </c>
    </row>
    <row r="30" spans="1:16" s="2" customFormat="1" ht="11.25" customHeight="1">
      <c r="A30" s="1" t="s">
        <v>2</v>
      </c>
      <c r="B30" s="1">
        <f t="shared" si="10"/>
        <v>28</v>
      </c>
      <c r="C30" s="1">
        <f t="shared" si="10"/>
        <v>28</v>
      </c>
      <c r="D30" s="1">
        <f t="shared" si="10"/>
        <v>28</v>
      </c>
      <c r="E30" s="1">
        <f t="shared" si="10"/>
        <v>28</v>
      </c>
      <c r="F30" s="1">
        <f t="shared" si="10"/>
        <v>28</v>
      </c>
      <c r="G30" s="1">
        <f t="shared" si="10"/>
        <v>28</v>
      </c>
      <c r="H30" s="1">
        <f t="shared" si="10"/>
        <v>28</v>
      </c>
      <c r="I30" s="1">
        <f t="shared" si="10"/>
        <v>28</v>
      </c>
      <c r="J30" s="1">
        <f t="shared" si="10"/>
        <v>28</v>
      </c>
      <c r="K30" s="1">
        <f t="shared" si="10"/>
        <v>28</v>
      </c>
      <c r="L30" s="1">
        <f t="shared" si="10"/>
        <v>28</v>
      </c>
      <c r="M30" s="1">
        <f t="shared" si="10"/>
        <v>28</v>
      </c>
    </row>
    <row r="31" spans="1:16" s="2" customFormat="1" ht="11.25" customHeight="1">
      <c r="A31" s="1" t="s">
        <v>5</v>
      </c>
      <c r="B31" s="1">
        <f t="shared" si="10"/>
        <v>28</v>
      </c>
      <c r="C31" s="1">
        <f t="shared" si="10"/>
        <v>28</v>
      </c>
      <c r="D31" s="1">
        <f t="shared" si="10"/>
        <v>28</v>
      </c>
      <c r="E31" s="1">
        <f t="shared" si="10"/>
        <v>28</v>
      </c>
      <c r="F31" s="1">
        <f t="shared" si="10"/>
        <v>28</v>
      </c>
      <c r="G31" s="1">
        <f t="shared" si="10"/>
        <v>28</v>
      </c>
      <c r="H31" s="1">
        <f t="shared" si="10"/>
        <v>28</v>
      </c>
      <c r="I31" s="1">
        <f t="shared" si="10"/>
        <v>28</v>
      </c>
      <c r="J31" s="1">
        <f t="shared" si="10"/>
        <v>28</v>
      </c>
      <c r="K31" s="1">
        <f t="shared" si="10"/>
        <v>28</v>
      </c>
      <c r="L31" s="1">
        <f t="shared" si="10"/>
        <v>28</v>
      </c>
      <c r="M31" s="1">
        <f t="shared" si="10"/>
        <v>28</v>
      </c>
    </row>
    <row r="32" spans="1:16" s="2" customFormat="1" ht="11.25" customHeight="1">
      <c r="A32" s="1" t="s">
        <v>6</v>
      </c>
      <c r="B32" s="1">
        <f t="shared" si="10"/>
        <v>28</v>
      </c>
      <c r="C32" s="1">
        <f t="shared" si="10"/>
        <v>28</v>
      </c>
      <c r="D32" s="1">
        <f t="shared" si="10"/>
        <v>28</v>
      </c>
      <c r="E32" s="1">
        <f t="shared" si="10"/>
        <v>28</v>
      </c>
      <c r="F32" s="1">
        <f t="shared" si="10"/>
        <v>28</v>
      </c>
      <c r="G32" s="1">
        <f t="shared" si="10"/>
        <v>28</v>
      </c>
      <c r="H32" s="1">
        <f t="shared" si="10"/>
        <v>28</v>
      </c>
      <c r="I32" s="1">
        <f t="shared" si="10"/>
        <v>28</v>
      </c>
      <c r="J32" s="1">
        <f t="shared" si="10"/>
        <v>28</v>
      </c>
      <c r="K32" s="1">
        <f t="shared" si="10"/>
        <v>28</v>
      </c>
      <c r="L32" s="1">
        <f t="shared" si="10"/>
        <v>28</v>
      </c>
      <c r="M32" s="1">
        <f t="shared" si="10"/>
        <v>28</v>
      </c>
    </row>
    <row r="33" spans="1:16" s="2" customFormat="1" ht="11.25" customHeight="1">
      <c r="A33" s="20" t="s">
        <v>61</v>
      </c>
      <c r="B33" s="1">
        <f t="shared" si="10"/>
        <v>28</v>
      </c>
      <c r="C33" s="1">
        <f t="shared" si="10"/>
        <v>28</v>
      </c>
      <c r="D33" s="1">
        <f t="shared" si="10"/>
        <v>28</v>
      </c>
      <c r="E33" s="1">
        <f t="shared" si="10"/>
        <v>28</v>
      </c>
      <c r="F33" s="1">
        <f t="shared" si="10"/>
        <v>28</v>
      </c>
      <c r="G33" s="1">
        <f t="shared" si="10"/>
        <v>28</v>
      </c>
      <c r="H33" s="1">
        <f t="shared" si="10"/>
        <v>28</v>
      </c>
      <c r="I33" s="1">
        <f t="shared" si="10"/>
        <v>28</v>
      </c>
      <c r="J33" s="1">
        <f t="shared" si="10"/>
        <v>28</v>
      </c>
      <c r="K33" s="1">
        <f t="shared" si="10"/>
        <v>28</v>
      </c>
      <c r="L33" s="1">
        <f t="shared" si="10"/>
        <v>28</v>
      </c>
      <c r="M33" s="1">
        <f t="shared" si="10"/>
        <v>28</v>
      </c>
    </row>
    <row r="34" spans="1:16" s="2" customFormat="1" ht="11.25" customHeight="1">
      <c r="A34" s="19" t="s">
        <v>105</v>
      </c>
      <c r="B34" s="1">
        <f t="shared" si="10"/>
        <v>28</v>
      </c>
      <c r="C34" s="1">
        <f t="shared" si="10"/>
        <v>28</v>
      </c>
      <c r="D34" s="1">
        <f t="shared" si="10"/>
        <v>28</v>
      </c>
      <c r="E34" s="1">
        <f t="shared" si="10"/>
        <v>28</v>
      </c>
      <c r="F34" s="1">
        <f t="shared" si="10"/>
        <v>28</v>
      </c>
      <c r="G34" s="1">
        <f t="shared" si="10"/>
        <v>28</v>
      </c>
      <c r="H34" s="1">
        <f t="shared" si="10"/>
        <v>28</v>
      </c>
      <c r="I34" s="1">
        <f t="shared" si="10"/>
        <v>28</v>
      </c>
      <c r="J34" s="1">
        <f t="shared" si="10"/>
        <v>28</v>
      </c>
      <c r="K34" s="1">
        <f t="shared" si="10"/>
        <v>28</v>
      </c>
      <c r="L34" s="1">
        <f t="shared" si="10"/>
        <v>28</v>
      </c>
      <c r="M34" s="1">
        <f t="shared" si="10"/>
        <v>28</v>
      </c>
    </row>
    <row r="35" spans="1:16" s="2" customFormat="1">
      <c r="A35" s="23" t="s">
        <v>76</v>
      </c>
      <c r="N35"/>
      <c r="O35"/>
      <c r="P35"/>
    </row>
    <row r="36" spans="1:16" s="2" customFormat="1" ht="11.25" customHeight="1">
      <c r="A36" s="1" t="s">
        <v>3</v>
      </c>
      <c r="B36" s="1">
        <f>IF(B5&gt;B$2,B5,B$2)</f>
        <v>28</v>
      </c>
      <c r="C36" s="1">
        <f>IF(C5&gt;C$2,C5,C$2)</f>
        <v>28</v>
      </c>
      <c r="D36" s="1">
        <f t="shared" ref="D36:M36" si="11">IF(D5&gt;D$2,D5,D$2)</f>
        <v>28</v>
      </c>
      <c r="E36" s="1">
        <f>E5</f>
        <v>17.600000000000001</v>
      </c>
      <c r="F36" s="1">
        <f>F5</f>
        <v>13.7</v>
      </c>
      <c r="G36" s="1">
        <f t="shared" ref="G36:J36" si="12">G5</f>
        <v>11.4</v>
      </c>
      <c r="H36" s="1">
        <f t="shared" si="12"/>
        <v>10.4</v>
      </c>
      <c r="I36" s="1">
        <f t="shared" si="12"/>
        <v>11.3</v>
      </c>
      <c r="J36" s="1">
        <f t="shared" si="12"/>
        <v>13.8</v>
      </c>
      <c r="K36" s="1">
        <f t="shared" si="11"/>
        <v>28</v>
      </c>
      <c r="L36" s="1">
        <f t="shared" si="11"/>
        <v>28</v>
      </c>
      <c r="M36" s="1">
        <f t="shared" si="11"/>
        <v>28</v>
      </c>
    </row>
    <row r="37" spans="1:16" s="2" customFormat="1" ht="11.25" customHeight="1">
      <c r="A37" s="1" t="s">
        <v>4</v>
      </c>
      <c r="B37" s="1">
        <f t="shared" ref="B37:D37" si="13">IF(B6&gt;B$2,B6,B$2)</f>
        <v>28</v>
      </c>
      <c r="C37" s="1">
        <f t="shared" si="13"/>
        <v>28</v>
      </c>
      <c r="D37" s="1">
        <f t="shared" si="13"/>
        <v>28</v>
      </c>
      <c r="E37" s="1">
        <f t="shared" ref="E37:J37" si="14">E6</f>
        <v>21.5</v>
      </c>
      <c r="F37" s="1">
        <f t="shared" si="14"/>
        <v>17.600000000000001</v>
      </c>
      <c r="G37" s="1">
        <f t="shared" si="14"/>
        <v>14.8</v>
      </c>
      <c r="H37" s="1">
        <f t="shared" si="14"/>
        <v>13.5</v>
      </c>
      <c r="I37" s="1">
        <f t="shared" si="14"/>
        <v>15.4</v>
      </c>
      <c r="J37" s="1">
        <f t="shared" si="14"/>
        <v>18.8</v>
      </c>
      <c r="K37" s="1">
        <f t="shared" ref="K37:M37" si="15">IF(K6&gt;K$2,K6,K$2)</f>
        <v>28</v>
      </c>
      <c r="L37" s="1">
        <f t="shared" si="15"/>
        <v>28</v>
      </c>
      <c r="M37" s="1">
        <f t="shared" si="15"/>
        <v>28</v>
      </c>
    </row>
    <row r="38" spans="1:16" s="2" customFormat="1" ht="11.25" customHeight="1">
      <c r="A38" s="1" t="s">
        <v>2</v>
      </c>
      <c r="B38" s="1">
        <f t="shared" ref="B38:D38" si="16">IF(B7&gt;B$2,B7,B$2)</f>
        <v>28</v>
      </c>
      <c r="C38" s="1">
        <f t="shared" si="16"/>
        <v>28</v>
      </c>
      <c r="D38" s="1">
        <f t="shared" si="16"/>
        <v>28</v>
      </c>
      <c r="E38" s="1">
        <f t="shared" ref="E38:J38" si="17">E7</f>
        <v>14.6</v>
      </c>
      <c r="F38" s="1">
        <f t="shared" si="17"/>
        <v>11.2</v>
      </c>
      <c r="G38" s="1">
        <f t="shared" si="17"/>
        <v>9</v>
      </c>
      <c r="H38" s="1">
        <f t="shared" si="17"/>
        <v>8.1999999999999993</v>
      </c>
      <c r="I38" s="1">
        <f t="shared" si="17"/>
        <v>9.5</v>
      </c>
      <c r="J38" s="1">
        <f t="shared" si="17"/>
        <v>11.9</v>
      </c>
      <c r="K38" s="1">
        <f t="shared" ref="K38:M38" si="18">IF(K7&gt;K$2,K7,K$2)</f>
        <v>28</v>
      </c>
      <c r="L38" s="1">
        <f t="shared" si="18"/>
        <v>28</v>
      </c>
      <c r="M38" s="1">
        <f t="shared" si="18"/>
        <v>28</v>
      </c>
    </row>
    <row r="39" spans="1:16" s="2" customFormat="1" ht="11.25" customHeight="1">
      <c r="A39" s="1" t="s">
        <v>5</v>
      </c>
      <c r="B39" s="1">
        <f t="shared" ref="B39:D39" si="19">IF(B8&gt;B$2,B8,B$2)</f>
        <v>28</v>
      </c>
      <c r="C39" s="1">
        <f t="shared" si="19"/>
        <v>28</v>
      </c>
      <c r="D39" s="1">
        <f t="shared" si="19"/>
        <v>28</v>
      </c>
      <c r="E39" s="1">
        <f t="shared" ref="E39:J39" si="20">E8</f>
        <v>17.899999999999999</v>
      </c>
      <c r="F39" s="1">
        <f t="shared" si="20"/>
        <v>15.2</v>
      </c>
      <c r="G39" s="1">
        <f t="shared" si="20"/>
        <v>13.3</v>
      </c>
      <c r="H39" s="1">
        <f t="shared" si="20"/>
        <v>11.9</v>
      </c>
      <c r="I39" s="1">
        <f t="shared" si="20"/>
        <v>12.6</v>
      </c>
      <c r="J39" s="1">
        <f t="shared" si="20"/>
        <v>14.5</v>
      </c>
      <c r="K39" s="1">
        <f t="shared" ref="K39:M39" si="21">IF(K8&gt;K$2,K8,K$2)</f>
        <v>28</v>
      </c>
      <c r="L39" s="1">
        <f t="shared" si="21"/>
        <v>28</v>
      </c>
      <c r="M39" s="1">
        <f t="shared" si="21"/>
        <v>28</v>
      </c>
    </row>
    <row r="40" spans="1:16" s="2" customFormat="1" ht="11.25" customHeight="1">
      <c r="A40" s="1" t="s">
        <v>6</v>
      </c>
      <c r="B40" s="1">
        <f t="shared" ref="B40:D40" si="22">IF(B9&gt;B$2,B9,B$2)</f>
        <v>28</v>
      </c>
      <c r="C40" s="1">
        <f t="shared" si="22"/>
        <v>28</v>
      </c>
      <c r="D40" s="1">
        <f t="shared" si="22"/>
        <v>28</v>
      </c>
      <c r="E40" s="1">
        <f t="shared" ref="E40:J40" si="23">E9</f>
        <v>18.399999999999999</v>
      </c>
      <c r="F40" s="1">
        <f t="shared" si="23"/>
        <v>14.3</v>
      </c>
      <c r="G40" s="1">
        <f t="shared" si="23"/>
        <v>12</v>
      </c>
      <c r="H40" s="1">
        <f t="shared" si="23"/>
        <v>10.9</v>
      </c>
      <c r="I40" s="1">
        <f t="shared" si="23"/>
        <v>12.5</v>
      </c>
      <c r="J40" s="1">
        <f t="shared" si="23"/>
        <v>15.4</v>
      </c>
      <c r="K40" s="1">
        <f t="shared" ref="K40:M40" si="24">IF(K9&gt;K$2,K9,K$2)</f>
        <v>28</v>
      </c>
      <c r="L40" s="1">
        <f t="shared" si="24"/>
        <v>28</v>
      </c>
      <c r="M40" s="1">
        <f t="shared" si="24"/>
        <v>28</v>
      </c>
    </row>
    <row r="41" spans="1:16" s="2" customFormat="1" ht="11.25" customHeight="1">
      <c r="A41" s="20" t="s">
        <v>61</v>
      </c>
      <c r="B41" s="1">
        <f t="shared" ref="B41:D41" si="25">IF(B10&gt;B$2,B10,B$2)</f>
        <v>28</v>
      </c>
      <c r="C41" s="1">
        <f t="shared" si="25"/>
        <v>28</v>
      </c>
      <c r="D41" s="1">
        <f t="shared" si="25"/>
        <v>28</v>
      </c>
      <c r="E41" s="1">
        <f t="shared" ref="E41:J41" si="26">E10</f>
        <v>23.5</v>
      </c>
      <c r="F41" s="1">
        <f t="shared" si="26"/>
        <v>20.6</v>
      </c>
      <c r="G41" s="1">
        <f t="shared" si="26"/>
        <v>17.8</v>
      </c>
      <c r="H41" s="1">
        <f t="shared" si="26"/>
        <v>16.5</v>
      </c>
      <c r="I41" s="1">
        <f t="shared" si="26"/>
        <v>18.399999999999999</v>
      </c>
      <c r="J41" s="1">
        <f t="shared" si="26"/>
        <v>21.8</v>
      </c>
      <c r="K41" s="1">
        <f t="shared" ref="K41:M41" si="27">IF(K10&gt;K$2,K10,K$2)</f>
        <v>28</v>
      </c>
      <c r="L41" s="1">
        <f t="shared" si="27"/>
        <v>28</v>
      </c>
      <c r="M41" s="1">
        <f t="shared" si="27"/>
        <v>28</v>
      </c>
    </row>
    <row r="42" spans="1:16" s="2" customFormat="1" ht="11.25" customHeight="1">
      <c r="A42" s="19" t="s">
        <v>105</v>
      </c>
      <c r="B42" s="1">
        <f t="shared" ref="B42:D42" si="28">IF(B11&gt;B$2,B11,B$2)</f>
        <v>28</v>
      </c>
      <c r="C42" s="1">
        <f t="shared" si="28"/>
        <v>28</v>
      </c>
      <c r="D42" s="1">
        <f t="shared" si="28"/>
        <v>28</v>
      </c>
      <c r="E42" s="1">
        <f t="shared" ref="E42:J42" si="29">E11</f>
        <v>14</v>
      </c>
      <c r="F42" s="1">
        <f t="shared" si="29"/>
        <v>11</v>
      </c>
      <c r="G42" s="1">
        <f t="shared" si="29"/>
        <v>9</v>
      </c>
      <c r="H42" s="1">
        <f t="shared" si="29"/>
        <v>8</v>
      </c>
      <c r="I42" s="1">
        <f t="shared" si="29"/>
        <v>10</v>
      </c>
      <c r="J42" s="1">
        <f t="shared" si="29"/>
        <v>11</v>
      </c>
      <c r="K42" s="1">
        <f t="shared" ref="K42:M42" si="30">IF(K11&gt;K$2,K11,K$2)</f>
        <v>28</v>
      </c>
      <c r="L42" s="1">
        <f t="shared" si="30"/>
        <v>28</v>
      </c>
      <c r="M42" s="1">
        <f t="shared" si="30"/>
        <v>28</v>
      </c>
    </row>
    <row r="43" spans="1:16" s="2" customFormat="1" ht="11.25" customHeight="1">
      <c r="A43" s="22" t="s">
        <v>72</v>
      </c>
      <c r="B43" s="31">
        <f>IF(Calculation!$D$26="Extended Season",VLOOKUP(Calculation!$D$8,$A$20:B$26,B3+1,FALSE),IF(Calculation!$D$26="All Year Round",VLOOKUP(Calculation!$D$8,Temperatures!$A$28:B$34,B3+1,FALSE),VLOOKUP(Calculation!$D$8,$A$36:B$42,B3+1,FALSE)))</f>
        <v>28</v>
      </c>
      <c r="C43" s="31">
        <f>IF(Calculation!$D$26="Extended Season",VLOOKUP(Calculation!$D$8,$A$20:C$26,C3+1,FALSE),IF(Calculation!$D$26="All Year Round",VLOOKUP(Calculation!$D$8,Temperatures!$A$28:C$34,C3+1,FALSE),VLOOKUP(Calculation!$D$8,$A$36:C$42,C3+1,FALSE)))</f>
        <v>28</v>
      </c>
      <c r="D43" s="31">
        <f>IF(Calculation!$D$26="Extended Season",VLOOKUP(Calculation!$D$8,$A$20:D$26,D3+1,FALSE),IF(Calculation!$D$26="All Year Round",VLOOKUP(Calculation!$D$8,Temperatures!$A$28:D$34,D3+1,FALSE),VLOOKUP(Calculation!$D$8,$A$36:D$42,D3+1,FALSE)))</f>
        <v>28</v>
      </c>
      <c r="E43" s="31">
        <f>IF(Calculation!$D$26="Extended Season",VLOOKUP(Calculation!$D$8,$A$20:E$26,E3+1,FALSE),IF(Calculation!$D$26="All Year Round",VLOOKUP(Calculation!$D$8,Temperatures!$A$28:E$34,E3+1,FALSE),VLOOKUP(Calculation!$D$8,$A$36:E$42,E3+1,FALSE)))</f>
        <v>28</v>
      </c>
      <c r="F43" s="31">
        <f>IF(Calculation!$D$26="Extended Season",VLOOKUP(Calculation!$D$8,$A$20:F$26,F3+1,FALSE),IF(Calculation!$D$26="All Year Round",VLOOKUP(Calculation!$D$8,Temperatures!$A$28:F$34,F3+1,FALSE),VLOOKUP(Calculation!$D$8,$A$36:F$42,F3+1,FALSE)))</f>
        <v>28</v>
      </c>
      <c r="G43" s="31">
        <f>IF(Calculation!$D$26="Extended Season",VLOOKUP(Calculation!$D$8,$A$20:G$26,G3+1,FALSE),IF(Calculation!$D$26="All Year Round",VLOOKUP(Calculation!$D$8,Temperatures!$A$28:G$34,G3+1,FALSE),VLOOKUP(Calculation!$D$8,$A$36:G$42,G3+1,FALSE)))</f>
        <v>28</v>
      </c>
      <c r="H43" s="31">
        <f>IF(Calculation!$D$26="Extended Season",VLOOKUP(Calculation!$D$8,$A$20:H$26,H3+1,FALSE),IF(Calculation!$D$26="All Year Round",VLOOKUP(Calculation!$D$8,Temperatures!$A$28:H$34,H3+1,FALSE),VLOOKUP(Calculation!$D$8,$A$36:H$42,H3+1,FALSE)))</f>
        <v>28</v>
      </c>
      <c r="I43" s="31">
        <f>IF(Calculation!$D$26="Extended Season",VLOOKUP(Calculation!$D$8,$A$20:I$26,I3+1,FALSE),IF(Calculation!$D$26="All Year Round",VLOOKUP(Calculation!$D$8,Temperatures!$A$28:I$34,I3+1,FALSE),VLOOKUP(Calculation!$D$8,$A$36:I$42,I3+1,FALSE)))</f>
        <v>28</v>
      </c>
      <c r="J43" s="31">
        <f>IF(Calculation!$D$26="Extended Season",VLOOKUP(Calculation!$D$8,$A$20:J$26,J3+1,FALSE),IF(Calculation!$D$26="All Year Round",VLOOKUP(Calculation!$D$8,Temperatures!$A$28:J$34,J3+1,FALSE),VLOOKUP(Calculation!$D$8,$A$36:J$42,J3+1,FALSE)))</f>
        <v>28</v>
      </c>
      <c r="K43" s="31">
        <f>IF(Calculation!$D$26="Extended Season",VLOOKUP(Calculation!$D$8,$A$20:K$26,K3+1,FALSE),IF(Calculation!$D$26="All Year Round",VLOOKUP(Calculation!$D$8,Temperatures!$A$28:K$34,K3+1,FALSE),VLOOKUP(Calculation!$D$8,$A$36:K$42,K3+1,FALSE)))</f>
        <v>28</v>
      </c>
      <c r="L43" s="31">
        <f>IF(Calculation!$D$26="Extended Season",VLOOKUP(Calculation!$D$8,$A$20:L$26,L3+1,FALSE),IF(Calculation!$D$26="All Year Round",VLOOKUP(Calculation!$D$8,Temperatures!$A$28:L$34,L3+1,FALSE),VLOOKUP(Calculation!$D$8,$A$36:L$42,L3+1,FALSE)))</f>
        <v>28</v>
      </c>
      <c r="M43" s="31">
        <f>IF(Calculation!$D$26="Extended Season",VLOOKUP(Calculation!$D$8,$A$20:M$26,M3+1,FALSE),IF(Calculation!$D$26="All Year Round",VLOOKUP(Calculation!$D$8,Temperatures!$A$28:M$34,M3+1,FALSE),VLOOKUP(Calculation!$D$8,$A$36:M$42,M3+1,FALSE)))</f>
        <v>28</v>
      </c>
    </row>
    <row r="44" spans="1:16" s="2" customFormat="1" ht="11.25" customHeight="1"/>
    <row r="45" spans="1:16" s="2" customFormat="1" ht="11.25" customHeight="1">
      <c r="A45" s="64"/>
    </row>
    <row r="46" spans="1:1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9" spans="2:5">
      <c r="C49" s="3" t="s">
        <v>58</v>
      </c>
    </row>
    <row r="50" spans="2:5">
      <c r="C50" t="s">
        <v>56</v>
      </c>
      <c r="D50" t="s">
        <v>57</v>
      </c>
    </row>
    <row r="51" spans="2:5">
      <c r="B51" s="21" t="s">
        <v>42</v>
      </c>
      <c r="C51" s="5">
        <f>Calculation!H65*31</f>
        <v>224.60874912000006</v>
      </c>
      <c r="D51" s="5">
        <f>Calculation!I65*31</f>
        <v>134.76524947200002</v>
      </c>
    </row>
    <row r="52" spans="2:5">
      <c r="B52" s="21" t="s">
        <v>43</v>
      </c>
      <c r="C52" s="5">
        <f>Calculation!H66*28</f>
        <v>198.89452800000001</v>
      </c>
      <c r="D52" s="5">
        <f>Calculation!I66*31</f>
        <v>132.12279359999999</v>
      </c>
    </row>
    <row r="53" spans="2:5">
      <c r="B53" s="21" t="s">
        <v>44</v>
      </c>
      <c r="C53" s="5">
        <f>Calculation!H67*31</f>
        <v>290.67014592000015</v>
      </c>
      <c r="D53" s="5">
        <f>Calculation!I67*31</f>
        <v>174.4020875520001</v>
      </c>
    </row>
    <row r="54" spans="2:5">
      <c r="B54" s="21" t="s">
        <v>45</v>
      </c>
      <c r="C54" s="5">
        <f>Calculation!H68*30</f>
        <v>409.15445760000011</v>
      </c>
      <c r="D54" s="5">
        <f>Calculation!I68*31</f>
        <v>253.67576371200008</v>
      </c>
    </row>
    <row r="55" spans="2:5">
      <c r="B55" s="21" t="s">
        <v>46</v>
      </c>
      <c r="C55" s="5">
        <f>Calculation!H69*31</f>
        <v>754.20094680000011</v>
      </c>
      <c r="D55" s="5">
        <f>Calculation!I69*31</f>
        <v>452.52056808000003</v>
      </c>
    </row>
    <row r="56" spans="2:5">
      <c r="B56" s="21" t="s">
        <v>47</v>
      </c>
      <c r="C56" s="5">
        <f>Calculation!H70*30</f>
        <v>852.40512000000012</v>
      </c>
      <c r="D56" s="5">
        <f>Calculation!I70*31</f>
        <v>528.49117440000009</v>
      </c>
    </row>
    <row r="57" spans="2:5">
      <c r="B57" s="21" t="s">
        <v>48</v>
      </c>
      <c r="C57" s="5">
        <f>Calculation!H71*31</f>
        <v>941.37490439999999</v>
      </c>
      <c r="D57" s="5">
        <f>Calculation!I71*31</f>
        <v>564.82494264000002</v>
      </c>
    </row>
    <row r="58" spans="2:5">
      <c r="B58" s="21" t="s">
        <v>49</v>
      </c>
      <c r="C58" s="5">
        <f>Calculation!H72*31</f>
        <v>853.29304200000013</v>
      </c>
      <c r="D58" s="5">
        <f>Calculation!I72*31</f>
        <v>511.97582520000009</v>
      </c>
    </row>
    <row r="59" spans="2:5">
      <c r="B59" s="21" t="s">
        <v>50</v>
      </c>
      <c r="C59" s="5">
        <f>Calculation!H73*31</f>
        <v>693.64466640000001</v>
      </c>
      <c r="D59" s="5">
        <f>Calculation!I73*31</f>
        <v>416.18679983999994</v>
      </c>
      <c r="E59" s="21" t="s">
        <v>64</v>
      </c>
    </row>
    <row r="60" spans="2:5">
      <c r="B60" s="21" t="s">
        <v>51</v>
      </c>
      <c r="C60" s="5">
        <f>Calculation!H74*30</f>
        <v>400.63040639999986</v>
      </c>
      <c r="D60" s="5">
        <f>Calculation!I74*31</f>
        <v>248.39085196799988</v>
      </c>
    </row>
    <row r="61" spans="2:5">
      <c r="B61" s="21" t="s">
        <v>52</v>
      </c>
      <c r="C61" s="5">
        <f>Calculation!H75*31</f>
        <v>321.49879776</v>
      </c>
      <c r="D61" s="5">
        <f>Calculation!I75*31</f>
        <v>192.89927865600001</v>
      </c>
    </row>
    <row r="62" spans="2:5">
      <c r="B62" s="21" t="s">
        <v>53</v>
      </c>
      <c r="C62" s="5">
        <f>Calculation!H76*31</f>
        <v>259.8414940799999</v>
      </c>
      <c r="D62" s="5">
        <f>Calculation!I76*31</f>
        <v>155.90489644799996</v>
      </c>
    </row>
  </sheetData>
  <mergeCells count="1">
    <mergeCell ref="N3:N4"/>
  </mergeCells>
  <phoneticPr fontId="2" type="noConversion"/>
  <dataValidations count="1">
    <dataValidation type="list" allowBlank="1" showInputMessage="1" showErrorMessage="1" sqref="A5 A20 A28 A36">
      <formula1>"Adelaide, Brisbane, Melbourne, Perth, Sydney, FNQ Coast"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B12" sqref="B12"/>
    </sheetView>
  </sheetViews>
  <sheetFormatPr defaultColWidth="8.6640625" defaultRowHeight="13.2"/>
  <cols>
    <col min="1" max="1" width="10.88671875" customWidth="1"/>
    <col min="2" max="3" width="18.33203125" bestFit="1" customWidth="1"/>
    <col min="4" max="4" width="17" bestFit="1" customWidth="1"/>
    <col min="5" max="5" width="15.6640625" bestFit="1" customWidth="1"/>
    <col min="6" max="6" width="29.88671875" bestFit="1" customWidth="1"/>
    <col min="7" max="7" width="8.88671875" bestFit="1" customWidth="1"/>
    <col min="8" max="9" width="18.33203125" bestFit="1" customWidth="1"/>
    <col min="10" max="10" width="17" bestFit="1" customWidth="1"/>
    <col min="11" max="11" width="15.6640625" bestFit="1" customWidth="1"/>
    <col min="12" max="12" width="29.88671875" bestFit="1" customWidth="1"/>
  </cols>
  <sheetData>
    <row r="1" spans="1:12">
      <c r="A1" s="90" t="s">
        <v>86</v>
      </c>
      <c r="B1" s="91">
        <f>MAX(Calculation!H27:H38)*33%/12</f>
        <v>39.766221000000009</v>
      </c>
      <c r="G1" s="88" t="s">
        <v>86</v>
      </c>
      <c r="H1" s="89">
        <f>MAX(Calculation!$I$27:$I$38)*33%/12</f>
        <v>23.859732600000001</v>
      </c>
    </row>
    <row r="3" spans="1:12" ht="19.5" customHeight="1">
      <c r="A3" s="35"/>
      <c r="B3" s="109" t="s">
        <v>85</v>
      </c>
      <c r="C3" s="110"/>
      <c r="D3" s="110"/>
      <c r="E3" s="110"/>
      <c r="F3" s="111"/>
      <c r="G3" s="35"/>
      <c r="H3" s="112" t="s">
        <v>89</v>
      </c>
      <c r="I3" s="113"/>
      <c r="J3" s="113"/>
      <c r="K3" s="113"/>
      <c r="L3" s="114"/>
    </row>
    <row r="4" spans="1:12">
      <c r="A4" s="81"/>
      <c r="B4" s="76" t="s">
        <v>67</v>
      </c>
      <c r="C4" s="77" t="s">
        <v>68</v>
      </c>
      <c r="D4" s="77" t="s">
        <v>65</v>
      </c>
      <c r="E4" s="77" t="s">
        <v>66</v>
      </c>
      <c r="F4" s="75"/>
      <c r="G4" s="35"/>
      <c r="H4" s="84" t="s">
        <v>67</v>
      </c>
      <c r="I4" s="77" t="s">
        <v>68</v>
      </c>
      <c r="J4" s="77" t="s">
        <v>65</v>
      </c>
      <c r="K4" s="77" t="s">
        <v>66</v>
      </c>
      <c r="L4" s="85"/>
    </row>
    <row r="5" spans="1:12">
      <c r="A5" s="82" t="s">
        <v>16</v>
      </c>
      <c r="B5" s="78" t="s">
        <v>19</v>
      </c>
      <c r="C5" s="79" t="s">
        <v>20</v>
      </c>
      <c r="D5" s="79"/>
      <c r="E5" s="79"/>
      <c r="F5" s="79" t="s">
        <v>15</v>
      </c>
      <c r="G5" s="83" t="s">
        <v>16</v>
      </c>
      <c r="H5" s="86" t="s">
        <v>19</v>
      </c>
      <c r="I5" s="79" t="s">
        <v>20</v>
      </c>
      <c r="J5" s="79"/>
      <c r="K5" s="79"/>
      <c r="L5" s="87" t="s">
        <v>15</v>
      </c>
    </row>
    <row r="6" spans="1:12">
      <c r="A6" s="93" t="s">
        <v>17</v>
      </c>
      <c r="B6" s="100">
        <f>8.8/12*13</f>
        <v>9.533333333333335</v>
      </c>
      <c r="C6" s="100">
        <f>B6</f>
        <v>9.533333333333335</v>
      </c>
      <c r="D6" s="80">
        <f>IF($B$1&lt;B6,1,0)</f>
        <v>0</v>
      </c>
      <c r="E6" s="80">
        <f>IF($B$1&lt;C6,1,0)</f>
        <v>0</v>
      </c>
      <c r="F6" s="77" t="s">
        <v>91</v>
      </c>
      <c r="G6" s="96" t="s">
        <v>17</v>
      </c>
      <c r="H6" s="100">
        <f>B6</f>
        <v>9.533333333333335</v>
      </c>
      <c r="I6" s="100">
        <f>B6</f>
        <v>9.533333333333335</v>
      </c>
      <c r="J6" s="80">
        <f>IF($H$1&lt;H6,1,0)</f>
        <v>0</v>
      </c>
      <c r="K6" s="80">
        <f>IF($H$1&lt;I6,1,0)</f>
        <v>0</v>
      </c>
      <c r="L6" s="77" t="s">
        <v>91</v>
      </c>
    </row>
    <row r="7" spans="1:12">
      <c r="A7" s="94" t="s">
        <v>17</v>
      </c>
      <c r="B7" s="101">
        <f>12.6/12*13</f>
        <v>13.65</v>
      </c>
      <c r="C7" s="100">
        <f t="shared" ref="C7:C18" si="0">B7</f>
        <v>13.65</v>
      </c>
      <c r="D7" s="80">
        <f>IF(SUM(D6:D$6)=1,0,IF($B$1&lt;B7,1,0))</f>
        <v>0</v>
      </c>
      <c r="E7" s="80">
        <f>IF(SUM(E6:E$6)=1,0,IF($B$1&lt;C7,1,0))</f>
        <v>0</v>
      </c>
      <c r="F7" s="77" t="s">
        <v>102</v>
      </c>
      <c r="G7" s="97" t="s">
        <v>17</v>
      </c>
      <c r="H7" s="100">
        <f t="shared" ref="H7:H18" si="1">B7</f>
        <v>13.65</v>
      </c>
      <c r="I7" s="100">
        <f t="shared" ref="I7:I18" si="2">B7</f>
        <v>13.65</v>
      </c>
      <c r="J7" s="80">
        <f>IF(SUM(J6:J$6)=1,0,IF($H$1&lt;H7,1,0))</f>
        <v>0</v>
      </c>
      <c r="K7" s="80">
        <f>IF(SUM(K6:K$6)=1,0,IF($H$1&lt;I7,1,0))</f>
        <v>0</v>
      </c>
      <c r="L7" s="77" t="s">
        <v>102</v>
      </c>
    </row>
    <row r="8" spans="1:12">
      <c r="A8" s="94" t="s">
        <v>17</v>
      </c>
      <c r="B8" s="101">
        <f>B7</f>
        <v>13.65</v>
      </c>
      <c r="C8" s="100">
        <f t="shared" si="0"/>
        <v>13.65</v>
      </c>
      <c r="D8" s="80">
        <v>0</v>
      </c>
      <c r="E8" s="80">
        <v>0</v>
      </c>
      <c r="F8" s="77" t="s">
        <v>103</v>
      </c>
      <c r="G8" s="97" t="s">
        <v>17</v>
      </c>
      <c r="H8" s="100">
        <f t="shared" si="1"/>
        <v>13.65</v>
      </c>
      <c r="I8" s="100">
        <f t="shared" si="2"/>
        <v>13.65</v>
      </c>
      <c r="J8" s="80">
        <v>0</v>
      </c>
      <c r="K8" s="80">
        <v>0</v>
      </c>
      <c r="L8" s="77" t="s">
        <v>103</v>
      </c>
    </row>
    <row r="9" spans="1:12">
      <c r="A9" s="93" t="s">
        <v>17</v>
      </c>
      <c r="B9" s="100">
        <f>17/12*13</f>
        <v>18.416666666666668</v>
      </c>
      <c r="C9" s="100">
        <f t="shared" si="0"/>
        <v>18.416666666666668</v>
      </c>
      <c r="D9" s="80">
        <f>IF(SUM(D$6:D7)=1,0,IF($B$1&lt;B9,1,0))</f>
        <v>0</v>
      </c>
      <c r="E9" s="80">
        <f>IF(SUM(E$6:E7)=1,0,IF($B$1&lt;C9,1,0))</f>
        <v>0</v>
      </c>
      <c r="F9" s="77" t="s">
        <v>101</v>
      </c>
      <c r="G9" s="96" t="s">
        <v>17</v>
      </c>
      <c r="H9" s="100">
        <f t="shared" si="1"/>
        <v>18.416666666666668</v>
      </c>
      <c r="I9" s="100">
        <f t="shared" si="2"/>
        <v>18.416666666666668</v>
      </c>
      <c r="J9" s="80">
        <f>IF(SUM(J$6:J7)=1,0,IF($H$1&lt;H9,1,0))</f>
        <v>0</v>
      </c>
      <c r="K9" s="80">
        <f>IF(SUM(K$6:K7)=1,0,IF($H$1&lt;I9,1,0))</f>
        <v>0</v>
      </c>
      <c r="L9" s="77" t="s">
        <v>101</v>
      </c>
    </row>
    <row r="10" spans="1:12">
      <c r="A10" s="93" t="s">
        <v>17</v>
      </c>
      <c r="B10" s="100">
        <f>19.5/12*13</f>
        <v>21.125</v>
      </c>
      <c r="C10" s="100">
        <f t="shared" si="0"/>
        <v>21.125</v>
      </c>
      <c r="D10" s="80">
        <f>IF(SUM(D$6:D9)=1,0,IF($B$1&lt;B10,1,0))</f>
        <v>0</v>
      </c>
      <c r="E10" s="80">
        <f>IF(SUM(E$6:E9)=1,0,IF($B$1&lt;C10,1,0))</f>
        <v>0</v>
      </c>
      <c r="F10" s="77" t="s">
        <v>92</v>
      </c>
      <c r="G10" s="96" t="s">
        <v>17</v>
      </c>
      <c r="H10" s="100">
        <f t="shared" si="1"/>
        <v>21.125</v>
      </c>
      <c r="I10" s="100">
        <f t="shared" si="2"/>
        <v>21.125</v>
      </c>
      <c r="J10" s="80">
        <f>IF(SUM(J$6:J9)=1,0,IF($H$1&lt;H10,1,0))</f>
        <v>0</v>
      </c>
      <c r="K10" s="80">
        <f>IF(SUM(K$6:K9)=1,0,IF($H$1&lt;I10,1,0))</f>
        <v>0</v>
      </c>
      <c r="L10" s="77" t="s">
        <v>92</v>
      </c>
    </row>
    <row r="11" spans="1:12">
      <c r="A11" s="93" t="s">
        <v>17</v>
      </c>
      <c r="B11" s="100">
        <f>24.2/12*13</f>
        <v>26.216666666666665</v>
      </c>
      <c r="C11" s="100">
        <f t="shared" si="0"/>
        <v>26.216666666666665</v>
      </c>
      <c r="D11" s="80">
        <f>IF(SUM(D$6:D10)=1,0,IF($B$1&lt;B11,1,0))</f>
        <v>0</v>
      </c>
      <c r="E11" s="80">
        <f>IF(SUM(E$6:E10)=1,0,IF($B$1&lt;C11,1,0))</f>
        <v>0</v>
      </c>
      <c r="F11" s="77" t="s">
        <v>104</v>
      </c>
      <c r="G11" s="84" t="s">
        <v>17</v>
      </c>
      <c r="H11" s="100">
        <f t="shared" si="1"/>
        <v>26.216666666666665</v>
      </c>
      <c r="I11" s="100">
        <f t="shared" si="2"/>
        <v>26.216666666666665</v>
      </c>
      <c r="J11" s="80">
        <f>IF(SUM(J$6:J10)=1,0,IF($H$1&lt;H11,1,0))</f>
        <v>1</v>
      </c>
      <c r="K11" s="80">
        <f>IF(SUM(K$6:K10)=1,0,IF($H$1&lt;I11,1,0))</f>
        <v>1</v>
      </c>
      <c r="L11" s="77" t="s">
        <v>104</v>
      </c>
    </row>
    <row r="12" spans="1:12">
      <c r="A12" s="93" t="s">
        <v>18</v>
      </c>
      <c r="B12" s="100">
        <f>28.3/12*13</f>
        <v>30.658333333333335</v>
      </c>
      <c r="C12" s="100">
        <f t="shared" si="0"/>
        <v>30.658333333333335</v>
      </c>
      <c r="D12" s="80">
        <f>IF(SUM(D$6:D10)=1,0,IF($B$1&lt;B12,1,0))</f>
        <v>0</v>
      </c>
      <c r="E12" s="80">
        <f>IF(SUM(E$6:E10)=1,0,IF($B$1&lt;C12,1,0))</f>
        <v>0</v>
      </c>
      <c r="F12" s="77" t="s">
        <v>93</v>
      </c>
      <c r="G12" s="96" t="s">
        <v>18</v>
      </c>
      <c r="H12" s="100">
        <f t="shared" si="1"/>
        <v>30.658333333333335</v>
      </c>
      <c r="I12" s="100">
        <f t="shared" si="2"/>
        <v>30.658333333333335</v>
      </c>
      <c r="J12" s="80">
        <f>IF(SUM(J$6:J10)=1,0,IF($H$1&lt;H12,1,0))</f>
        <v>1</v>
      </c>
      <c r="K12" s="80">
        <f>IF(SUM(K$6:K10)=1,0,IF($H$1&lt;I12,1,0))</f>
        <v>1</v>
      </c>
      <c r="L12" s="77" t="s">
        <v>93</v>
      </c>
    </row>
    <row r="13" spans="1:12">
      <c r="A13" s="93" t="s">
        <v>18</v>
      </c>
      <c r="B13" s="100">
        <f>ROUND(47/12*13,1)</f>
        <v>50.9</v>
      </c>
      <c r="C13" s="100">
        <f t="shared" si="0"/>
        <v>50.9</v>
      </c>
      <c r="D13" s="80">
        <f>IF(SUM(D$6:D11)=1,0,IF($B$1&lt;B13,1,0))</f>
        <v>1</v>
      </c>
      <c r="E13" s="80">
        <f>IF(SUM(E$6:E11)=1,0,IF($B$1&lt;C13,1,0))</f>
        <v>1</v>
      </c>
      <c r="F13" s="77" t="s">
        <v>94</v>
      </c>
      <c r="G13" s="96" t="s">
        <v>18</v>
      </c>
      <c r="H13" s="100">
        <f t="shared" si="1"/>
        <v>50.9</v>
      </c>
      <c r="I13" s="100">
        <f t="shared" si="2"/>
        <v>50.9</v>
      </c>
      <c r="J13" s="80">
        <f>IF(SUM(J$6:J11)=1,0,IF($H$1&lt;H13,1,0))</f>
        <v>0</v>
      </c>
      <c r="K13" s="80">
        <f>IF(SUM(K$6:K11)=1,0,IF($H$1&lt;I13,1,0))</f>
        <v>0</v>
      </c>
      <c r="L13" s="77" t="s">
        <v>94</v>
      </c>
    </row>
    <row r="14" spans="1:12">
      <c r="A14" s="93" t="s">
        <v>18</v>
      </c>
      <c r="B14" s="100">
        <f>ROUND(58/12*13,1)</f>
        <v>62.8</v>
      </c>
      <c r="C14" s="100">
        <f t="shared" si="0"/>
        <v>62.8</v>
      </c>
      <c r="D14" s="80">
        <f>IF(SUM(D$6:D13)=1,0,IF($B$1&lt;B14,1,0))</f>
        <v>0</v>
      </c>
      <c r="E14" s="80">
        <f>IF(SUM(E$6:E13)=1,0,IF($B$1&lt;C14,1,0))</f>
        <v>0</v>
      </c>
      <c r="F14" s="77" t="s">
        <v>95</v>
      </c>
      <c r="G14" s="96" t="s">
        <v>18</v>
      </c>
      <c r="H14" s="100">
        <f t="shared" si="1"/>
        <v>62.8</v>
      </c>
      <c r="I14" s="100">
        <f t="shared" si="2"/>
        <v>62.8</v>
      </c>
      <c r="J14" s="80">
        <f>IF(SUM(J$6:J13)=1,0,IF($H$1&lt;H14,1,0))</f>
        <v>1</v>
      </c>
      <c r="K14" s="80">
        <f>IF(SUM(K$6:K13)=1,0,IF($H$1&lt;I14,1,0))</f>
        <v>1</v>
      </c>
      <c r="L14" s="77" t="s">
        <v>95</v>
      </c>
    </row>
    <row r="15" spans="1:12">
      <c r="A15" s="76" t="s">
        <v>18</v>
      </c>
      <c r="B15" s="102">
        <f>ROUND(95/12*13,1)</f>
        <v>102.9</v>
      </c>
      <c r="C15" s="100">
        <f t="shared" si="0"/>
        <v>102.9</v>
      </c>
      <c r="D15" s="80">
        <f>IF(SUM(D$6:D14)=1,0,IF($B$1&lt;B15,1,0))</f>
        <v>0</v>
      </c>
      <c r="E15" s="80">
        <f>IF(SUM(E$6:E14)=1,0,IF($B$1&lt;C15,1,0))</f>
        <v>0</v>
      </c>
      <c r="F15" s="77" t="s">
        <v>96</v>
      </c>
      <c r="G15" s="84" t="s">
        <v>18</v>
      </c>
      <c r="H15" s="100">
        <f t="shared" si="1"/>
        <v>102.9</v>
      </c>
      <c r="I15" s="100">
        <f t="shared" si="2"/>
        <v>102.9</v>
      </c>
      <c r="J15" s="80">
        <f>IF(SUM(J$6:J14)=1,0,IF($H$1&lt;H15,1,0))</f>
        <v>1</v>
      </c>
      <c r="K15" s="80">
        <f>IF(SUM(K$6:K14)=1,0,IF($H$1&lt;I15,1,0))</f>
        <v>1</v>
      </c>
      <c r="L15" s="77" t="s">
        <v>96</v>
      </c>
    </row>
    <row r="16" spans="1:12">
      <c r="A16" s="76" t="s">
        <v>18</v>
      </c>
      <c r="B16" s="102">
        <f>ROUND(120/12*13,1)</f>
        <v>130</v>
      </c>
      <c r="C16" s="100">
        <f t="shared" si="0"/>
        <v>130</v>
      </c>
      <c r="D16" s="80">
        <f>IF(SUM(D$6:D15)=1,0,IF($B$1&lt;B16,1,0))</f>
        <v>0</v>
      </c>
      <c r="E16" s="80">
        <f>IF(SUM(E$6:E15)=1,0,IF($B$1&lt;C16,1,0))</f>
        <v>0</v>
      </c>
      <c r="F16" s="77" t="s">
        <v>97</v>
      </c>
      <c r="G16" s="84" t="s">
        <v>18</v>
      </c>
      <c r="H16" s="100">
        <f t="shared" si="1"/>
        <v>130</v>
      </c>
      <c r="I16" s="100">
        <f t="shared" si="2"/>
        <v>130</v>
      </c>
      <c r="J16" s="80">
        <f>IF(SUM(J$6:J15)=1,0,IF($H$1&lt;H16,1,0))</f>
        <v>1</v>
      </c>
      <c r="K16" s="80">
        <f>IF(SUM(K$6:K15)=1,0,IF($H$1&lt;I16,1,0))</f>
        <v>1</v>
      </c>
      <c r="L16" s="77" t="s">
        <v>97</v>
      </c>
    </row>
    <row r="17" spans="1:12">
      <c r="A17" s="76" t="s">
        <v>18</v>
      </c>
      <c r="B17" s="102">
        <f>ROUND(145/12*13,1)</f>
        <v>157.1</v>
      </c>
      <c r="C17" s="100">
        <f t="shared" si="0"/>
        <v>157.1</v>
      </c>
      <c r="D17" s="80">
        <f>IF(SUM(D$6:D16)=1,0,IF($B$1&lt;B17,1,0))</f>
        <v>0</v>
      </c>
      <c r="E17" s="80">
        <f>IF(SUM(E$6:E16)=1,0,IF($B$1&lt;C17,1,0))</f>
        <v>0</v>
      </c>
      <c r="F17" s="77" t="s">
        <v>98</v>
      </c>
      <c r="G17" s="84" t="s">
        <v>18</v>
      </c>
      <c r="H17" s="100">
        <f t="shared" si="1"/>
        <v>157.1</v>
      </c>
      <c r="I17" s="100">
        <f t="shared" si="2"/>
        <v>157.1</v>
      </c>
      <c r="J17" s="80">
        <f>IF(SUM(J$6:J16)=1,0,IF($H$1&lt;H17,1,0))</f>
        <v>1</v>
      </c>
      <c r="K17" s="80">
        <f>IF(SUM(K$6:K16)=1,0,IF($H$1&lt;I17,1,0))</f>
        <v>1</v>
      </c>
      <c r="L17" s="77" t="s">
        <v>98</v>
      </c>
    </row>
    <row r="18" spans="1:12">
      <c r="A18" s="76" t="s">
        <v>18</v>
      </c>
      <c r="B18" s="102">
        <f>ROUND(220/12*13,1)</f>
        <v>238.3</v>
      </c>
      <c r="C18" s="100">
        <f t="shared" si="0"/>
        <v>238.3</v>
      </c>
      <c r="D18" s="80">
        <f>IF(SUM(D$6:D17)=1,0,IF($B$1&lt;B18,1,0))</f>
        <v>0</v>
      </c>
      <c r="E18" s="80">
        <f>IF(SUM(E$6:E17)=1,0,IF($B$1&lt;C18,1,0))</f>
        <v>0</v>
      </c>
      <c r="F18" s="77" t="s">
        <v>99</v>
      </c>
      <c r="G18" s="84" t="s">
        <v>18</v>
      </c>
      <c r="H18" s="100">
        <f t="shared" si="1"/>
        <v>238.3</v>
      </c>
      <c r="I18" s="100">
        <f t="shared" si="2"/>
        <v>238.3</v>
      </c>
      <c r="J18" s="80">
        <f>IF(SUM(J$6:J17)=1,0,IF($H$1&lt;H18,1,0))</f>
        <v>1</v>
      </c>
      <c r="K18" s="80">
        <f>IF(SUM(K$6:K17)=1,0,IF($H$1&lt;I18,1,0))</f>
        <v>1</v>
      </c>
      <c r="L18" s="77" t="s">
        <v>99</v>
      </c>
    </row>
    <row r="19" spans="1:12">
      <c r="A19" s="35"/>
      <c r="B19" s="35"/>
      <c r="C19" s="35"/>
      <c r="D19" s="72"/>
      <c r="E19" s="72"/>
      <c r="F19" s="35"/>
      <c r="H19" s="95"/>
      <c r="I19" s="95"/>
    </row>
    <row r="20" spans="1:12">
      <c r="A20" s="35"/>
      <c r="B20" s="35"/>
      <c r="C20" s="35"/>
      <c r="D20" s="72"/>
      <c r="E20" s="72"/>
      <c r="F20" s="35"/>
    </row>
    <row r="21" spans="1:12">
      <c r="A21" s="35"/>
      <c r="B21" s="35"/>
      <c r="C21" s="35"/>
      <c r="D21" s="72"/>
      <c r="E21" s="72"/>
      <c r="F21" s="35"/>
    </row>
    <row r="22" spans="1:12">
      <c r="A22" s="35"/>
      <c r="B22" s="35"/>
      <c r="C22" s="35"/>
      <c r="D22" s="72"/>
      <c r="E22" s="72"/>
      <c r="F22" s="35"/>
    </row>
    <row r="23" spans="1:12">
      <c r="A23" s="35"/>
      <c r="B23" s="35"/>
      <c r="C23" s="35"/>
      <c r="D23" s="35"/>
      <c r="E23" s="35"/>
      <c r="F23" s="35"/>
    </row>
    <row r="24" spans="1:12">
      <c r="A24" s="35"/>
      <c r="B24" s="35"/>
      <c r="C24" s="35"/>
      <c r="D24" s="35"/>
      <c r="E24" s="35"/>
      <c r="F24" s="35"/>
    </row>
    <row r="25" spans="1:12">
      <c r="A25" s="35"/>
      <c r="B25" s="35"/>
      <c r="C25" s="35"/>
      <c r="D25" s="35"/>
      <c r="E25" s="35"/>
      <c r="F25" s="92"/>
    </row>
    <row r="26" spans="1:12">
      <c r="A26" s="35"/>
      <c r="B26" s="35"/>
      <c r="C26" s="35"/>
      <c r="D26" s="35"/>
      <c r="E26" s="35"/>
      <c r="F26" s="92"/>
    </row>
    <row r="27" spans="1:12">
      <c r="A27" s="35"/>
      <c r="B27" s="35"/>
      <c r="C27" s="35"/>
      <c r="D27" s="35"/>
      <c r="E27" s="35"/>
      <c r="F27" s="92"/>
    </row>
    <row r="28" spans="1:12">
      <c r="A28" s="35"/>
      <c r="B28" s="35"/>
      <c r="C28" s="35"/>
      <c r="D28" s="35"/>
      <c r="E28" s="35"/>
      <c r="F28" s="92"/>
    </row>
    <row r="29" spans="1:12">
      <c r="A29" s="35"/>
      <c r="B29" s="35"/>
      <c r="C29" s="35"/>
      <c r="D29" s="35"/>
      <c r="E29" s="35"/>
      <c r="F29" s="92"/>
    </row>
    <row r="30" spans="1:12">
      <c r="A30" s="35"/>
      <c r="B30" s="35"/>
      <c r="C30" s="35"/>
      <c r="D30" s="35"/>
      <c r="E30" s="35"/>
      <c r="F30" s="92"/>
    </row>
    <row r="31" spans="1:12">
      <c r="A31" s="35"/>
      <c r="B31" s="35"/>
      <c r="C31" s="35"/>
      <c r="D31" s="35"/>
      <c r="E31" s="35"/>
    </row>
    <row r="32" spans="1:12">
      <c r="A32" s="35"/>
      <c r="B32" s="35"/>
      <c r="C32" s="35"/>
      <c r="D32" s="35"/>
      <c r="E32" s="35"/>
      <c r="F32" s="92"/>
    </row>
    <row r="33" spans="1:6">
      <c r="A33" s="35"/>
      <c r="B33" s="35"/>
      <c r="C33" s="35"/>
      <c r="D33" s="35"/>
      <c r="E33" s="35"/>
      <c r="F33" s="92"/>
    </row>
    <row r="34" spans="1:6">
      <c r="A34" s="35"/>
      <c r="B34" s="35"/>
      <c r="C34" s="35"/>
      <c r="D34" s="35"/>
      <c r="E34" s="35"/>
      <c r="F34" s="92"/>
    </row>
    <row r="35" spans="1:6">
      <c r="A35" s="35"/>
      <c r="B35" s="35"/>
      <c r="C35" s="35"/>
      <c r="D35" s="35"/>
      <c r="E35" s="35"/>
      <c r="F35" s="92"/>
    </row>
    <row r="36" spans="1:6">
      <c r="A36" s="35"/>
      <c r="B36" s="35"/>
      <c r="C36" s="35"/>
      <c r="D36" s="35"/>
      <c r="E36" s="35"/>
      <c r="F36" s="92"/>
    </row>
    <row r="37" spans="1:6">
      <c r="A37" s="2"/>
      <c r="B37" s="2"/>
      <c r="C37" s="2"/>
      <c r="D37" s="2"/>
      <c r="E37" s="2"/>
      <c r="F37" s="92"/>
    </row>
    <row r="38" spans="1:6">
      <c r="F38" s="92"/>
    </row>
  </sheetData>
  <mergeCells count="2">
    <mergeCell ref="B3:F3"/>
    <mergeCell ref="H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</vt:lpstr>
      <vt:lpstr>Temperatures</vt:lpstr>
      <vt:lpstr>Model selection</vt:lpstr>
      <vt:lpstr>Calculation!Print_Area</vt:lpstr>
    </vt:vector>
  </TitlesOfParts>
  <Company>Track Right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pwallace</dc:creator>
  <cp:lastModifiedBy>okuk5</cp:lastModifiedBy>
  <cp:lastPrinted>2012-06-23T02:07:22Z</cp:lastPrinted>
  <dcterms:created xsi:type="dcterms:W3CDTF">2009-06-25T23:37:34Z</dcterms:created>
  <dcterms:modified xsi:type="dcterms:W3CDTF">2018-09-12T03:10:41Z</dcterms:modified>
</cp:coreProperties>
</file>